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5.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6.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codeName="ThisWorkbook" defaultThemeVersion="124226"/>
  <mc:AlternateContent xmlns:mc="http://schemas.openxmlformats.org/markup-compatibility/2006">
    <mc:Choice Requires="x15">
      <x15ac:absPath xmlns:x15ac="http://schemas.microsoft.com/office/spreadsheetml/2010/11/ac" url="C:\Users\wlazarus\Documents\A_xls\Digesters\"/>
    </mc:Choice>
  </mc:AlternateContent>
  <xr:revisionPtr revIDLastSave="0" documentId="13_ncr:1_{ECFA8641-5D06-4E17-AD3B-3E882225E0C8}" xr6:coauthVersionLast="47" xr6:coauthVersionMax="47" xr10:uidLastSave="{00000000-0000-0000-0000-000000000000}"/>
  <bookViews>
    <workbookView xWindow="-120" yWindow="-120" windowWidth="29040" windowHeight="15840" xr2:uid="{FA48E636-1DBF-4451-BFBD-26236DCD6FC7}"/>
  </bookViews>
  <sheets>
    <sheet name="Welcome" sheetId="16" r:id="rId1"/>
    <sheet name="Background" sheetId="24" r:id="rId2"/>
    <sheet name="Key inputs &amp; Outputs" sheetId="19" r:id="rId3"/>
    <sheet name="Financial Inputs" sheetId="7" r:id="rId4"/>
    <sheet name="Nutrient Inputs" sheetId="27" r:id="rId5"/>
    <sheet name="Switchgrass_Key_Inputs" sheetId="17" r:id="rId6"/>
    <sheet name="Switchgrass_Budget" sheetId="21" r:id="rId7"/>
    <sheet name="Sensitivity Analysis" sheetId="18" r:id="rId8"/>
    <sheet name="Workspace" sheetId="23" state="hidden" r:id="rId9"/>
    <sheet name="Saved Scenarios" sheetId="9" r:id="rId10"/>
    <sheet name="N_availability" sheetId="25" r:id="rId11"/>
    <sheet name="Condensed Cash Flow" sheetId="10" r:id="rId12"/>
    <sheet name="Detailed Cash Flow" sheetId="11" r:id="rId13"/>
    <sheet name="Nutrient chart" sheetId="26" r:id="rId14"/>
    <sheet name="Nutrient Calculations" sheetId="15" r:id="rId15"/>
    <sheet name="Complex Inputs" sheetId="12" r:id="rId16"/>
  </sheets>
  <definedNames>
    <definedName name="_ftnref1" localSheetId="3">'Financial Inputs'!$E$106</definedName>
    <definedName name="alternet">Switchgrass_Key_Inputs!$D$47</definedName>
    <definedName name="cellfirst">Workspace!$C$27</definedName>
    <definedName name="corncost">Switchgrass_Key_Inputs!$D$15</definedName>
    <definedName name="cornpr">Switchgrass_Key_Inputs!$D$14</definedName>
    <definedName name="cornyld">Switchgrass_Key_Inputs!$D$13</definedName>
    <definedName name="crop1">Workspace!$B$3</definedName>
    <definedName name="croppick">Switchgrass_Key_Inputs!$D$12</definedName>
    <definedName name="defcols">Workspace!$B$24</definedName>
    <definedName name="defrow1">Workspace!$B$27</definedName>
    <definedName name="defrows">Workspace!$B$23</definedName>
    <definedName name="grassbreakeven">Switchgrass_Key_Inputs!$D$48</definedName>
    <definedName name="grassbyreg">Switchgrass_Key_Inputs!$Z$32</definedName>
    <definedName name="input1">Switchgrass_Key_Inputs!$D$12:$D$21</definedName>
    <definedName name="input2">Switchgrass_Key_Inputs!$D$24:$D$29</definedName>
    <definedName name="pctcorn">Switchgrass_Key_Inputs!$D$16</definedName>
    <definedName name="scenselect">Workspace!$B$22</definedName>
    <definedName name="solver_adj" localSheetId="3" hidden="1">'Financial Inputs'!$P$159</definedName>
    <definedName name="solver_adj" localSheetId="2" hidden="1">'Nutrient Inputs'!$D$46</definedName>
    <definedName name="solver_adj" localSheetId="14" hidden="1">'Nutrient Inputs'!$E$67</definedName>
    <definedName name="solver_cvg" localSheetId="3" hidden="1">0.0001</definedName>
    <definedName name="solver_cvg" localSheetId="2" hidden="1">0.0001</definedName>
    <definedName name="solver_cvg" localSheetId="14" hidden="1">0.0001</definedName>
    <definedName name="solver_drv" localSheetId="3" hidden="1">1</definedName>
    <definedName name="solver_drv" localSheetId="2" hidden="1">1</definedName>
    <definedName name="solver_drv" localSheetId="14" hidden="1">1</definedName>
    <definedName name="solver_eng" localSheetId="2" hidden="1">1</definedName>
    <definedName name="solver_eng" localSheetId="14" hidden="1">1</definedName>
    <definedName name="solver_est" localSheetId="3" hidden="1">1</definedName>
    <definedName name="solver_est" localSheetId="2" hidden="1">1</definedName>
    <definedName name="solver_est" localSheetId="14" hidden="1">1</definedName>
    <definedName name="solver_itr" localSheetId="3" hidden="1">100</definedName>
    <definedName name="solver_itr" localSheetId="2" hidden="1">2147483647</definedName>
    <definedName name="solver_itr" localSheetId="14" hidden="1">2147483647</definedName>
    <definedName name="solver_lhs1" localSheetId="3" hidden="1">'Financial Inputs'!$P$55</definedName>
    <definedName name="solver_lhs1" localSheetId="2" hidden="1">'Nutrient Inputs'!$D$47</definedName>
    <definedName name="solver_lhs2" localSheetId="3" hidden="1">'Financial Inputs'!$P$58</definedName>
    <definedName name="solver_lhs2" localSheetId="2" hidden="1">'Nutrient Inputs'!#REF!</definedName>
    <definedName name="solver_lin" localSheetId="3" hidden="1">2</definedName>
    <definedName name="solver_mip" localSheetId="2" hidden="1">2147483647</definedName>
    <definedName name="solver_mip" localSheetId="14" hidden="1">2147483647</definedName>
    <definedName name="solver_mni" localSheetId="2" hidden="1">30</definedName>
    <definedName name="solver_mni" localSheetId="14" hidden="1">30</definedName>
    <definedName name="solver_mrt" localSheetId="2" hidden="1">0.075</definedName>
    <definedName name="solver_mrt" localSheetId="14" hidden="1">0.075</definedName>
    <definedName name="solver_msl" localSheetId="2" hidden="1">2</definedName>
    <definedName name="solver_msl" localSheetId="14" hidden="1">2</definedName>
    <definedName name="solver_neg" localSheetId="3" hidden="1">2</definedName>
    <definedName name="solver_neg" localSheetId="2" hidden="1">1</definedName>
    <definedName name="solver_neg" localSheetId="14" hidden="1">1</definedName>
    <definedName name="solver_nod" localSheetId="2" hidden="1">2147483647</definedName>
    <definedName name="solver_nod" localSheetId="14" hidden="1">2147483647</definedName>
    <definedName name="solver_num" localSheetId="3" hidden="1">2</definedName>
    <definedName name="solver_num" localSheetId="2" hidden="1">2</definedName>
    <definedName name="solver_num" localSheetId="14" hidden="1">0</definedName>
    <definedName name="solver_nwt" localSheetId="3" hidden="1">1</definedName>
    <definedName name="solver_nwt" localSheetId="2" hidden="1">1</definedName>
    <definedName name="solver_nwt" localSheetId="14" hidden="1">1</definedName>
    <definedName name="solver_opt" localSheetId="3" hidden="1">'Financial Inputs'!#REF!</definedName>
    <definedName name="solver_opt" localSheetId="2" hidden="1">'Nutrient Inputs'!$D$43</definedName>
    <definedName name="solver_opt" localSheetId="14" hidden="1">'Nutrient Calculations'!$AA$68</definedName>
    <definedName name="solver_pre" localSheetId="3" hidden="1">0.000001</definedName>
    <definedName name="solver_pre" localSheetId="2" hidden="1">0.000001</definedName>
    <definedName name="solver_pre" localSheetId="14" hidden="1">0.000001</definedName>
    <definedName name="solver_rbv" localSheetId="2" hidden="1">1</definedName>
    <definedName name="solver_rbv" localSheetId="14" hidden="1">1</definedName>
    <definedName name="solver_rel1" localSheetId="3" hidden="1">3</definedName>
    <definedName name="solver_rel1" localSheetId="2" hidden="1">2</definedName>
    <definedName name="solver_rel2" localSheetId="3" hidden="1">3</definedName>
    <definedName name="solver_rel2" localSheetId="2" hidden="1">2</definedName>
    <definedName name="solver_rhs1" localSheetId="3" hidden="1">'Financial Inputs'!$P$155</definedName>
    <definedName name="solver_rhs1" localSheetId="2" hidden="1">31.78</definedName>
    <definedName name="solver_rhs2" localSheetId="3" hidden="1">'Financial Inputs'!$P$57</definedName>
    <definedName name="solver_rhs2" localSheetId="2" hidden="1">7.6</definedName>
    <definedName name="solver_rlx" localSheetId="2" hidden="1">2</definedName>
    <definedName name="solver_rlx" localSheetId="14" hidden="1">2</definedName>
    <definedName name="solver_rsd" localSheetId="2" hidden="1">0</definedName>
    <definedName name="solver_rsd" localSheetId="14" hidden="1">0</definedName>
    <definedName name="solver_scl" localSheetId="3" hidden="1">2</definedName>
    <definedName name="solver_scl" localSheetId="2" hidden="1">1</definedName>
    <definedName name="solver_scl" localSheetId="14" hidden="1">1</definedName>
    <definedName name="solver_sho" localSheetId="3" hidden="1">2</definedName>
    <definedName name="solver_sho" localSheetId="2" hidden="1">2</definedName>
    <definedName name="solver_sho" localSheetId="14" hidden="1">2</definedName>
    <definedName name="solver_ssz" localSheetId="2" hidden="1">100</definedName>
    <definedName name="solver_ssz" localSheetId="14" hidden="1">100</definedName>
    <definedName name="solver_tim" localSheetId="3" hidden="1">100</definedName>
    <definedName name="solver_tim" localSheetId="2" hidden="1">2147483647</definedName>
    <definedName name="solver_tim" localSheetId="14" hidden="1">2147483647</definedName>
    <definedName name="solver_tol" localSheetId="3" hidden="1">0.05</definedName>
    <definedName name="solver_tol" localSheetId="2" hidden="1">0.01</definedName>
    <definedName name="solver_tol" localSheetId="14" hidden="1">0.01</definedName>
    <definedName name="solver_typ" localSheetId="3" hidden="1">2</definedName>
    <definedName name="solver_typ" localSheetId="2" hidden="1">2</definedName>
    <definedName name="solver_typ" localSheetId="14" hidden="1">1</definedName>
    <definedName name="solver_val" localSheetId="3" hidden="1">0</definedName>
    <definedName name="solver_val" localSheetId="2" hidden="1">0</definedName>
    <definedName name="solver_val" localSheetId="14" hidden="1">0</definedName>
    <definedName name="solver_ver" localSheetId="2" hidden="1">3</definedName>
    <definedName name="solver_ver" localSheetId="14" hidden="1">3</definedName>
    <definedName name="soycost">Switchgrass_Key_Inputs!$D$21</definedName>
    <definedName name="soypr">Switchgrass_Key_Inputs!$D$20</definedName>
    <definedName name="soyyld">Switchgrass_Key_Inputs!$D$18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55" i="7" l="1"/>
  <c r="D43" i="17"/>
  <c r="C43" i="17"/>
  <c r="D37" i="17"/>
  <c r="C37" i="17"/>
  <c r="D35" i="17"/>
  <c r="C35" i="17"/>
  <c r="C34" i="17"/>
  <c r="AF48" i="15"/>
  <c r="AF47" i="15"/>
  <c r="AF45" i="15"/>
  <c r="AF44" i="15"/>
  <c r="D69" i="27" l="1"/>
  <c r="W35" i="7"/>
  <c r="C6" i="12"/>
  <c r="H49" i="26"/>
  <c r="F123" i="7" l="1"/>
  <c r="W100" i="7" l="1"/>
  <c r="Y100" i="7" l="1"/>
  <c r="C32" i="12"/>
  <c r="C31" i="12"/>
  <c r="G99" i="7"/>
  <c r="W34" i="7"/>
  <c r="W33" i="7"/>
  <c r="G31" i="7" l="1"/>
  <c r="G30" i="7"/>
  <c r="C74" i="15" l="1"/>
  <c r="B16" i="15"/>
  <c r="N16" i="15" s="1"/>
  <c r="AF16" i="15" s="1"/>
  <c r="N17" i="15"/>
  <c r="AF17" i="15" s="1"/>
  <c r="B44" i="15"/>
  <c r="B50" i="15"/>
  <c r="B47" i="15"/>
  <c r="F14" i="26" s="1"/>
  <c r="B48" i="15"/>
  <c r="B52" i="15"/>
  <c r="C76" i="26" s="1"/>
  <c r="C63" i="15"/>
  <c r="B63" i="15"/>
  <c r="G36" i="27"/>
  <c r="H36" i="27"/>
  <c r="F36" i="27"/>
  <c r="G32" i="27"/>
  <c r="H32" i="27"/>
  <c r="F32" i="27"/>
  <c r="M5" i="27"/>
  <c r="E28" i="27"/>
  <c r="E52" i="15" s="1"/>
  <c r="F76" i="26" s="1"/>
  <c r="M76" i="26" s="1"/>
  <c r="T76" i="26" s="1"/>
  <c r="E3" i="27"/>
  <c r="B30" i="15" s="1"/>
  <c r="E4" i="27"/>
  <c r="N12" i="15" s="1"/>
  <c r="N22" i="15" s="1"/>
  <c r="F42" i="27"/>
  <c r="B46" i="15" s="1"/>
  <c r="F43" i="27"/>
  <c r="X63" i="15"/>
  <c r="V79" i="26" s="1"/>
  <c r="D44" i="27"/>
  <c r="G44" i="27"/>
  <c r="H44" i="27"/>
  <c r="B45" i="15"/>
  <c r="P157" i="7"/>
  <c r="V194" i="7" s="1"/>
  <c r="Q50" i="18" s="1"/>
  <c r="P159" i="7"/>
  <c r="F123" i="11" s="1"/>
  <c r="P63" i="7"/>
  <c r="P65" i="7"/>
  <c r="M65" i="7" s="1"/>
  <c r="X118" i="7"/>
  <c r="L22" i="17" s="1"/>
  <c r="AT61" i="15"/>
  <c r="P156" i="7"/>
  <c r="P158" i="7"/>
  <c r="AD128" i="11" s="1"/>
  <c r="AD41" i="11" s="1"/>
  <c r="L9" i="17"/>
  <c r="G61" i="21" s="1"/>
  <c r="G57" i="21" s="1"/>
  <c r="S33" i="21" s="1"/>
  <c r="D25" i="17"/>
  <c r="K31" i="21" s="1"/>
  <c r="D26" i="17"/>
  <c r="O48" i="21" s="1"/>
  <c r="P48" i="21" s="1"/>
  <c r="G19" i="7"/>
  <c r="P149" i="7"/>
  <c r="P148" i="7"/>
  <c r="D24" i="9" s="1"/>
  <c r="P147" i="7"/>
  <c r="E44" i="27"/>
  <c r="F44" i="27" s="1"/>
  <c r="AG46" i="15" s="1"/>
  <c r="Q31" i="21"/>
  <c r="N78" i="15"/>
  <c r="AF78" i="15" s="1"/>
  <c r="G20" i="11"/>
  <c r="P26" i="7"/>
  <c r="H11" i="11" s="1"/>
  <c r="P24" i="7"/>
  <c r="H10" i="11" s="1"/>
  <c r="D30" i="9"/>
  <c r="L52" i="21"/>
  <c r="Q39" i="18"/>
  <c r="V22" i="18"/>
  <c r="V13" i="18"/>
  <c r="V3" i="18"/>
  <c r="Q30" i="18"/>
  <c r="Q21" i="18"/>
  <c r="Q12" i="18"/>
  <c r="D51" i="19"/>
  <c r="I54" i="19" s="1"/>
  <c r="D38" i="17"/>
  <c r="C38" i="17"/>
  <c r="P163" i="7"/>
  <c r="J171" i="11" s="1"/>
  <c r="I172" i="11" s="1"/>
  <c r="AA144" i="7"/>
  <c r="AA143" i="7"/>
  <c r="AA142" i="7"/>
  <c r="AA141" i="7"/>
  <c r="AA140" i="7"/>
  <c r="AA139" i="7"/>
  <c r="AA138" i="7"/>
  <c r="AA137" i="7"/>
  <c r="AA136" i="7"/>
  <c r="X140" i="7"/>
  <c r="G5" i="7"/>
  <c r="P52" i="21"/>
  <c r="R52" i="21"/>
  <c r="C36" i="17"/>
  <c r="AA126" i="7"/>
  <c r="AB126" i="7" s="1"/>
  <c r="H237" i="11"/>
  <c r="H47" i="11" s="1"/>
  <c r="I237" i="11"/>
  <c r="I47" i="11" s="1"/>
  <c r="J237" i="11"/>
  <c r="J47" i="11" s="1"/>
  <c r="K237" i="11"/>
  <c r="K47" i="11" s="1"/>
  <c r="L237" i="11"/>
  <c r="L47" i="11" s="1"/>
  <c r="M237" i="11"/>
  <c r="M47" i="11" s="1"/>
  <c r="N237" i="11"/>
  <c r="N47" i="11" s="1"/>
  <c r="O237" i="11"/>
  <c r="O47" i="11" s="1"/>
  <c r="Q237" i="11"/>
  <c r="Q47" i="11" s="1"/>
  <c r="R237" i="11"/>
  <c r="R47" i="11" s="1"/>
  <c r="S237" i="11"/>
  <c r="S47" i="11" s="1"/>
  <c r="T237" i="11"/>
  <c r="T47" i="11" s="1"/>
  <c r="U237" i="11"/>
  <c r="U47" i="11" s="1"/>
  <c r="V237" i="11"/>
  <c r="V47" i="11" s="1"/>
  <c r="W237" i="11"/>
  <c r="W47" i="11" s="1"/>
  <c r="X237" i="11"/>
  <c r="X47" i="11" s="1"/>
  <c r="Y237" i="11"/>
  <c r="Y47" i="11" s="1"/>
  <c r="AA237" i="11"/>
  <c r="AA47" i="11" s="1"/>
  <c r="AB237" i="11"/>
  <c r="AB47" i="11" s="1"/>
  <c r="AC237" i="11"/>
  <c r="AC47" i="11" s="1"/>
  <c r="AD237" i="11"/>
  <c r="AD47" i="11" s="1"/>
  <c r="AE237" i="11"/>
  <c r="AE47" i="11" s="1"/>
  <c r="AF237" i="11"/>
  <c r="AF47" i="11" s="1"/>
  <c r="AG237" i="11"/>
  <c r="AG47" i="11" s="1"/>
  <c r="AH237" i="11"/>
  <c r="AH47" i="11" s="1"/>
  <c r="AI237" i="11"/>
  <c r="AI47" i="11" s="1"/>
  <c r="AJ237" i="11"/>
  <c r="AJ47" i="11" s="1"/>
  <c r="G237" i="11"/>
  <c r="G47" i="11" s="1"/>
  <c r="AJ172" i="11"/>
  <c r="AJ171" i="11"/>
  <c r="AI172" i="11" s="1"/>
  <c r="AI171" i="11"/>
  <c r="AH172" i="11" s="1"/>
  <c r="AH171" i="11"/>
  <c r="AG172" i="11" s="1"/>
  <c r="AG171" i="11"/>
  <c r="AF172" i="11" s="1"/>
  <c r="AF171" i="11"/>
  <c r="AE172" i="11" s="1"/>
  <c r="AE171" i="11"/>
  <c r="AD172" i="11" s="1"/>
  <c r="AD171" i="11"/>
  <c r="AC172" i="11" s="1"/>
  <c r="AC171" i="11"/>
  <c r="AB172" i="11" s="1"/>
  <c r="AB171" i="11"/>
  <c r="AA172" i="11" s="1"/>
  <c r="AA171" i="11"/>
  <c r="Z172" i="11" s="1"/>
  <c r="Z171" i="11"/>
  <c r="Y172" i="11" s="1"/>
  <c r="B171" i="11"/>
  <c r="AA119" i="7"/>
  <c r="AA122" i="7"/>
  <c r="AB122" i="7" s="1"/>
  <c r="AA123" i="7"/>
  <c r="AB123" i="7" s="1"/>
  <c r="AA124" i="7"/>
  <c r="AB124" i="7" s="1"/>
  <c r="AA125" i="7"/>
  <c r="AA127" i="7"/>
  <c r="AB127" i="7" s="1"/>
  <c r="AA128" i="7"/>
  <c r="AB128" i="7" s="1"/>
  <c r="AA129" i="7"/>
  <c r="AB129" i="7" s="1"/>
  <c r="AA130" i="7"/>
  <c r="AB130" i="7" s="1"/>
  <c r="AA131" i="7"/>
  <c r="AB131" i="7" s="1"/>
  <c r="AA132" i="7"/>
  <c r="AB132" i="7" s="1"/>
  <c r="AA133" i="7"/>
  <c r="AB133" i="7" s="1"/>
  <c r="AA135" i="7"/>
  <c r="E35" i="17" s="1"/>
  <c r="AA121" i="7"/>
  <c r="D33" i="21"/>
  <c r="R33" i="21" s="1"/>
  <c r="D31" i="21"/>
  <c r="AF75" i="15"/>
  <c r="C40" i="26"/>
  <c r="C58" i="27"/>
  <c r="C51" i="27"/>
  <c r="C47" i="27"/>
  <c r="AW57" i="15"/>
  <c r="C41" i="26" s="1"/>
  <c r="AW58" i="15"/>
  <c r="AW56" i="15"/>
  <c r="I50" i="26"/>
  <c r="B84" i="26"/>
  <c r="B40" i="26"/>
  <c r="W70" i="26"/>
  <c r="F121" i="7"/>
  <c r="C29" i="23" s="1"/>
  <c r="R106" i="19"/>
  <c r="R105" i="19"/>
  <c r="C56" i="23" s="1"/>
  <c r="Q106" i="19"/>
  <c r="Q105" i="19"/>
  <c r="D127" i="27"/>
  <c r="C55" i="23" s="1"/>
  <c r="D126" i="27"/>
  <c r="D125" i="27"/>
  <c r="C53" i="23" s="1"/>
  <c r="D124" i="27"/>
  <c r="C52" i="23" s="1"/>
  <c r="D123" i="27"/>
  <c r="C51" i="23" s="1"/>
  <c r="D122" i="27"/>
  <c r="C50" i="23" s="1"/>
  <c r="D121" i="27"/>
  <c r="C49" i="23" s="1"/>
  <c r="D120" i="27"/>
  <c r="C48" i="23" s="1"/>
  <c r="D119" i="27"/>
  <c r="D118" i="27"/>
  <c r="C46" i="23" s="1"/>
  <c r="D117" i="27"/>
  <c r="C45" i="23" s="1"/>
  <c r="D116" i="27"/>
  <c r="C44" i="23" s="1"/>
  <c r="D115" i="27"/>
  <c r="C43" i="23" s="1"/>
  <c r="D114" i="27"/>
  <c r="C42" i="23" s="1"/>
  <c r="F132" i="7"/>
  <c r="C41" i="23" s="1"/>
  <c r="F122" i="7"/>
  <c r="C30" i="23" s="1"/>
  <c r="C31" i="23"/>
  <c r="F124" i="7"/>
  <c r="C32" i="23" s="1"/>
  <c r="F125" i="7"/>
  <c r="F126" i="7"/>
  <c r="F127" i="7"/>
  <c r="C35" i="23" s="1"/>
  <c r="F128" i="7"/>
  <c r="C36" i="23" s="1"/>
  <c r="F129" i="7"/>
  <c r="C37" i="23" s="1"/>
  <c r="F130" i="7"/>
  <c r="C38" i="23" s="1"/>
  <c r="F131" i="7"/>
  <c r="C39" i="23" s="1"/>
  <c r="R102" i="19"/>
  <c r="R101" i="19"/>
  <c r="C27" i="23" s="1"/>
  <c r="B24" i="23" s="1"/>
  <c r="D4" i="17"/>
  <c r="P10" i="7"/>
  <c r="P9" i="7"/>
  <c r="D28" i="19"/>
  <c r="D29" i="19"/>
  <c r="D31" i="19"/>
  <c r="D32" i="19"/>
  <c r="D33" i="19"/>
  <c r="D34" i="19"/>
  <c r="D37" i="19"/>
  <c r="D38" i="19"/>
  <c r="D39" i="19"/>
  <c r="D41" i="19"/>
  <c r="D42" i="19"/>
  <c r="D43" i="19"/>
  <c r="D45" i="19"/>
  <c r="D23" i="19"/>
  <c r="E9" i="27"/>
  <c r="C27" i="27" s="1"/>
  <c r="D22" i="17"/>
  <c r="L39" i="26"/>
  <c r="M9" i="26"/>
  <c r="N6" i="26"/>
  <c r="AW61" i="15"/>
  <c r="C74" i="26"/>
  <c r="S80" i="26"/>
  <c r="L75" i="26"/>
  <c r="S75" i="26"/>
  <c r="L76" i="26"/>
  <c r="S76" i="26"/>
  <c r="L77" i="26"/>
  <c r="S77" i="26"/>
  <c r="L74" i="26"/>
  <c r="S74" i="26"/>
  <c r="AF18" i="15"/>
  <c r="M39" i="26"/>
  <c r="J10" i="26"/>
  <c r="J20" i="26" s="1"/>
  <c r="J28" i="26" s="1"/>
  <c r="I40" i="26" s="1"/>
  <c r="M40" i="26" s="1"/>
  <c r="J9" i="26"/>
  <c r="J18" i="26" s="1"/>
  <c r="J27" i="26" s="1"/>
  <c r="I38" i="26" s="1"/>
  <c r="M38" i="26" s="1"/>
  <c r="I43" i="26"/>
  <c r="I44" i="26"/>
  <c r="I45" i="26"/>
  <c r="I42" i="26"/>
  <c r="AG44" i="15"/>
  <c r="L28" i="26"/>
  <c r="L27" i="26"/>
  <c r="N7" i="26"/>
  <c r="G10" i="26"/>
  <c r="M10" i="26"/>
  <c r="M11" i="26"/>
  <c r="I14" i="26"/>
  <c r="I13" i="26"/>
  <c r="I12" i="26"/>
  <c r="F13" i="26"/>
  <c r="G9" i="26"/>
  <c r="A1" i="26"/>
  <c r="C40" i="15"/>
  <c r="X41" i="15"/>
  <c r="AR41" i="15" s="1"/>
  <c r="A60" i="23"/>
  <c r="A61" i="23"/>
  <c r="A62" i="23"/>
  <c r="A59" i="23"/>
  <c r="C5" i="21"/>
  <c r="Q45" i="21" s="1"/>
  <c r="R45" i="21" s="1"/>
  <c r="C4" i="21"/>
  <c r="Q48" i="21"/>
  <c r="R48" i="21" s="1"/>
  <c r="AG47" i="15"/>
  <c r="AG48" i="15"/>
  <c r="P165" i="7"/>
  <c r="P175" i="11" s="1"/>
  <c r="P176" i="11" s="1"/>
  <c r="G176" i="11"/>
  <c r="G177" i="11" s="1"/>
  <c r="G178" i="11" s="1"/>
  <c r="E42" i="11"/>
  <c r="P97" i="7"/>
  <c r="O97" i="7"/>
  <c r="G221" i="11"/>
  <c r="H207" i="11"/>
  <c r="H221" i="11"/>
  <c r="I207" i="11"/>
  <c r="I221" i="11"/>
  <c r="J207" i="11"/>
  <c r="J221" i="11"/>
  <c r="K207" i="11"/>
  <c r="K221" i="11"/>
  <c r="L207" i="11"/>
  <c r="L221" i="11"/>
  <c r="M207" i="11"/>
  <c r="M221" i="11"/>
  <c r="N207" i="11"/>
  <c r="N221" i="11"/>
  <c r="O207" i="11"/>
  <c r="O221" i="11"/>
  <c r="P207" i="11"/>
  <c r="P221" i="11"/>
  <c r="Q207" i="11"/>
  <c r="Q208" i="11"/>
  <c r="Q221" i="11"/>
  <c r="R207" i="11"/>
  <c r="R208" i="11"/>
  <c r="R221" i="11"/>
  <c r="S207" i="11"/>
  <c r="S208" i="11"/>
  <c r="S221" i="11"/>
  <c r="T207" i="11"/>
  <c r="T208" i="11"/>
  <c r="T221" i="11"/>
  <c r="U207" i="11"/>
  <c r="U208" i="11"/>
  <c r="U221" i="11"/>
  <c r="V207" i="11"/>
  <c r="V208" i="11"/>
  <c r="V221" i="11"/>
  <c r="W207" i="11"/>
  <c r="W208" i="11"/>
  <c r="W221" i="11"/>
  <c r="X207" i="11"/>
  <c r="X208" i="11"/>
  <c r="X221" i="11"/>
  <c r="Y207" i="11"/>
  <c r="Y208" i="11"/>
  <c r="Y221" i="11"/>
  <c r="Z207" i="11"/>
  <c r="Z208" i="11"/>
  <c r="Z221" i="11"/>
  <c r="F59" i="11"/>
  <c r="F60" i="11"/>
  <c r="AA207" i="11"/>
  <c r="AA208" i="11"/>
  <c r="AA221" i="11"/>
  <c r="AB207" i="11"/>
  <c r="AB208" i="11"/>
  <c r="AB221" i="11"/>
  <c r="AC207" i="11"/>
  <c r="AC208" i="11"/>
  <c r="AC221" i="11"/>
  <c r="AD207" i="11"/>
  <c r="AD208" i="11"/>
  <c r="AD221" i="11"/>
  <c r="AE207" i="11"/>
  <c r="AE208" i="11"/>
  <c r="AE221" i="11"/>
  <c r="AF207" i="11"/>
  <c r="AF208" i="11"/>
  <c r="AF221" i="11"/>
  <c r="AG207" i="11"/>
  <c r="AG208" i="11"/>
  <c r="AG221" i="11"/>
  <c r="AH207" i="11"/>
  <c r="AH208" i="11"/>
  <c r="AH221" i="11"/>
  <c r="AI207" i="11"/>
  <c r="AI208" i="11"/>
  <c r="AI221" i="11"/>
  <c r="AJ207" i="11"/>
  <c r="AJ208" i="11"/>
  <c r="AJ221" i="11"/>
  <c r="A42" i="23"/>
  <c r="A43" i="23"/>
  <c r="A44" i="23"/>
  <c r="A45" i="23"/>
  <c r="A54" i="23"/>
  <c r="A55" i="23"/>
  <c r="A31" i="23"/>
  <c r="B23" i="23"/>
  <c r="A53" i="23"/>
  <c r="A52" i="23"/>
  <c r="A51" i="23"/>
  <c r="B90" i="17"/>
  <c r="A58" i="23" s="1"/>
  <c r="B89" i="17"/>
  <c r="A57" i="23" s="1"/>
  <c r="B88" i="17"/>
  <c r="A56" i="23" s="1"/>
  <c r="A38" i="23"/>
  <c r="A39" i="23"/>
  <c r="A40" i="23"/>
  <c r="A41" i="23"/>
  <c r="A28" i="23"/>
  <c r="A29" i="23"/>
  <c r="A30" i="23"/>
  <c r="A32" i="23"/>
  <c r="A33" i="23"/>
  <c r="A34" i="23"/>
  <c r="A35" i="23"/>
  <c r="A36" i="23"/>
  <c r="A37" i="23"/>
  <c r="A27" i="23"/>
  <c r="M145" i="11"/>
  <c r="N145" i="11"/>
  <c r="O145" i="11"/>
  <c r="P145" i="11"/>
  <c r="Q145" i="11"/>
  <c r="R145" i="11"/>
  <c r="S145" i="11"/>
  <c r="T145" i="11"/>
  <c r="U145" i="11"/>
  <c r="V145" i="11"/>
  <c r="W145" i="11"/>
  <c r="W146" i="11"/>
  <c r="X145" i="11"/>
  <c r="X146" i="11"/>
  <c r="Y145" i="11"/>
  <c r="Y146" i="11"/>
  <c r="Z145" i="11"/>
  <c r="Z146" i="11"/>
  <c r="AG45" i="15"/>
  <c r="C12" i="9"/>
  <c r="D29" i="9"/>
  <c r="E13" i="17"/>
  <c r="D53" i="17"/>
  <c r="C53" i="17"/>
  <c r="B175" i="11"/>
  <c r="E18" i="17"/>
  <c r="B21" i="17"/>
  <c r="B20" i="17"/>
  <c r="B19" i="17"/>
  <c r="B17" i="17"/>
  <c r="B18" i="17"/>
  <c r="E14" i="17"/>
  <c r="E20" i="17"/>
  <c r="K11" i="17"/>
  <c r="H48" i="21"/>
  <c r="H47" i="21"/>
  <c r="R46" i="21"/>
  <c r="P46" i="21"/>
  <c r="L46" i="21"/>
  <c r="H46" i="21"/>
  <c r="H45" i="21"/>
  <c r="H49" i="21"/>
  <c r="R44" i="21"/>
  <c r="P44" i="21"/>
  <c r="L44" i="21"/>
  <c r="H44" i="21"/>
  <c r="D38" i="21"/>
  <c r="H38" i="21"/>
  <c r="R37" i="21"/>
  <c r="D37" i="21"/>
  <c r="P37" i="21"/>
  <c r="L37" i="21"/>
  <c r="R36" i="21"/>
  <c r="P36" i="21"/>
  <c r="L36" i="21"/>
  <c r="H36" i="21"/>
  <c r="R34" i="21"/>
  <c r="P34" i="21"/>
  <c r="L34" i="21"/>
  <c r="H34" i="21"/>
  <c r="R29" i="21"/>
  <c r="O29" i="21"/>
  <c r="P29" i="21"/>
  <c r="L29" i="21"/>
  <c r="H29" i="21"/>
  <c r="R28" i="21"/>
  <c r="P28" i="21"/>
  <c r="L28" i="21"/>
  <c r="H28" i="21"/>
  <c r="R24" i="21"/>
  <c r="P24" i="21"/>
  <c r="L24" i="21"/>
  <c r="H24" i="21"/>
  <c r="R23" i="21"/>
  <c r="P23" i="21"/>
  <c r="L23" i="21"/>
  <c r="H23" i="21"/>
  <c r="R22" i="21"/>
  <c r="P22" i="21"/>
  <c r="P25" i="21"/>
  <c r="L22" i="21"/>
  <c r="H22" i="21"/>
  <c r="R21" i="21"/>
  <c r="P21" i="21"/>
  <c r="L21" i="21"/>
  <c r="H21" i="21"/>
  <c r="H25" i="21"/>
  <c r="R20" i="21"/>
  <c r="R25" i="21"/>
  <c r="P20" i="21"/>
  <c r="L20" i="21"/>
  <c r="H20" i="21"/>
  <c r="R16" i="21"/>
  <c r="P16" i="21"/>
  <c r="L16" i="21"/>
  <c r="H16" i="21"/>
  <c r="R15" i="21"/>
  <c r="P15" i="21"/>
  <c r="L15" i="21"/>
  <c r="H15" i="21"/>
  <c r="R14" i="21"/>
  <c r="P14" i="21"/>
  <c r="L14" i="21"/>
  <c r="L17" i="21"/>
  <c r="H14" i="21"/>
  <c r="H17" i="21"/>
  <c r="R13" i="21"/>
  <c r="R17" i="21"/>
  <c r="P13" i="21"/>
  <c r="L13" i="21"/>
  <c r="H13" i="21"/>
  <c r="R12" i="21"/>
  <c r="P12" i="21"/>
  <c r="P17" i="21"/>
  <c r="L12" i="21"/>
  <c r="H12" i="21"/>
  <c r="C6" i="21"/>
  <c r="R10" i="21" s="1"/>
  <c r="Q60" i="18"/>
  <c r="P60" i="18"/>
  <c r="O60" i="18"/>
  <c r="Q59" i="18"/>
  <c r="P59" i="18"/>
  <c r="O59" i="18"/>
  <c r="Q58" i="18"/>
  <c r="P58" i="18"/>
  <c r="O58" i="18"/>
  <c r="Q57" i="18"/>
  <c r="P57" i="18"/>
  <c r="O57" i="18"/>
  <c r="Q56" i="18"/>
  <c r="P56" i="18"/>
  <c r="O56" i="18"/>
  <c r="O55" i="18"/>
  <c r="Q54" i="18"/>
  <c r="P54" i="18"/>
  <c r="O54" i="18"/>
  <c r="O53" i="18"/>
  <c r="P51" i="18"/>
  <c r="O51" i="18"/>
  <c r="P50" i="18"/>
  <c r="O50" i="18"/>
  <c r="P49" i="18"/>
  <c r="O49" i="18"/>
  <c r="P48" i="18"/>
  <c r="O48" i="18"/>
  <c r="O47" i="18"/>
  <c r="Q45" i="18"/>
  <c r="O45" i="18"/>
  <c r="Q44" i="18"/>
  <c r="O44" i="18"/>
  <c r="Q43" i="18"/>
  <c r="P43" i="18"/>
  <c r="O43" i="18"/>
  <c r="Q42" i="18"/>
  <c r="O42" i="18"/>
  <c r="Q41" i="18"/>
  <c r="O41" i="18"/>
  <c r="P40" i="18"/>
  <c r="O38" i="18"/>
  <c r="Q36" i="18"/>
  <c r="O36" i="18"/>
  <c r="Q35" i="18"/>
  <c r="O35" i="18"/>
  <c r="Q34" i="18"/>
  <c r="P34" i="18"/>
  <c r="O34" i="18"/>
  <c r="Q33" i="18"/>
  <c r="O33" i="18"/>
  <c r="Q32" i="18"/>
  <c r="O32" i="18"/>
  <c r="P31" i="18"/>
  <c r="O29" i="18"/>
  <c r="V28" i="18"/>
  <c r="U28" i="18"/>
  <c r="T28" i="18"/>
  <c r="V27" i="18"/>
  <c r="U27" i="18"/>
  <c r="T27" i="18"/>
  <c r="Q27" i="18"/>
  <c r="P27" i="18"/>
  <c r="O27" i="18"/>
  <c r="V26" i="18"/>
  <c r="U26" i="18"/>
  <c r="T26" i="18"/>
  <c r="Q26" i="18"/>
  <c r="P26" i="18"/>
  <c r="O26" i="18"/>
  <c r="V25" i="18"/>
  <c r="U25" i="18"/>
  <c r="T25" i="18"/>
  <c r="Q25" i="18"/>
  <c r="P25" i="18"/>
  <c r="O25" i="18"/>
  <c r="V24" i="18"/>
  <c r="U24" i="18"/>
  <c r="T24" i="18"/>
  <c r="Q24" i="18"/>
  <c r="P24" i="18"/>
  <c r="O24" i="18"/>
  <c r="T23" i="18"/>
  <c r="Q23" i="18"/>
  <c r="P23" i="18"/>
  <c r="O23" i="18"/>
  <c r="U22" i="18"/>
  <c r="T22" i="18"/>
  <c r="O22" i="18"/>
  <c r="T21" i="18"/>
  <c r="P21" i="18"/>
  <c r="O21" i="18"/>
  <c r="O20" i="18"/>
  <c r="V19" i="18"/>
  <c r="T19" i="18"/>
  <c r="V18" i="18"/>
  <c r="T18" i="18"/>
  <c r="Q18" i="18"/>
  <c r="O18" i="18"/>
  <c r="V17" i="18"/>
  <c r="T17" i="18"/>
  <c r="Q17" i="18"/>
  <c r="O17" i="18"/>
  <c r="V16" i="18"/>
  <c r="U16" i="18"/>
  <c r="T16" i="18"/>
  <c r="Q16" i="18"/>
  <c r="P16" i="18"/>
  <c r="O16" i="18"/>
  <c r="V15" i="18"/>
  <c r="T15" i="18"/>
  <c r="Q15" i="18"/>
  <c r="O15" i="18"/>
  <c r="U14" i="18"/>
  <c r="Q14" i="18"/>
  <c r="O14" i="18"/>
  <c r="P13" i="18"/>
  <c r="T12" i="18"/>
  <c r="O11" i="18"/>
  <c r="V10" i="18"/>
  <c r="T10" i="18"/>
  <c r="V9" i="18"/>
  <c r="T9" i="18"/>
  <c r="Q9" i="18"/>
  <c r="P9" i="18"/>
  <c r="O9" i="18"/>
  <c r="V8" i="18"/>
  <c r="T8" i="18"/>
  <c r="Q8" i="18"/>
  <c r="P8" i="18"/>
  <c r="O8" i="18"/>
  <c r="V7" i="18"/>
  <c r="U7" i="18"/>
  <c r="T7" i="18"/>
  <c r="Q7" i="18"/>
  <c r="P7" i="18"/>
  <c r="O7" i="18"/>
  <c r="V6" i="18"/>
  <c r="T6" i="18"/>
  <c r="Q6" i="18"/>
  <c r="P6" i="18"/>
  <c r="O6" i="18"/>
  <c r="V5" i="18"/>
  <c r="T5" i="18"/>
  <c r="Q5" i="18"/>
  <c r="P5" i="18"/>
  <c r="O5" i="18"/>
  <c r="U4" i="18"/>
  <c r="O4" i="18"/>
  <c r="P3" i="18"/>
  <c r="O3" i="18"/>
  <c r="T2" i="18"/>
  <c r="O2" i="18"/>
  <c r="D40" i="17"/>
  <c r="B40" i="17"/>
  <c r="C60" i="17"/>
  <c r="D60" i="17"/>
  <c r="C61" i="17"/>
  <c r="D61" i="17"/>
  <c r="C62" i="17"/>
  <c r="D62" i="17"/>
  <c r="C51" i="17"/>
  <c r="D51" i="17"/>
  <c r="C54" i="17"/>
  <c r="D54" i="17"/>
  <c r="C55" i="17"/>
  <c r="D55" i="17"/>
  <c r="C56" i="17"/>
  <c r="D56" i="17"/>
  <c r="C57" i="17"/>
  <c r="D57" i="17"/>
  <c r="C58" i="17"/>
  <c r="D58" i="17"/>
  <c r="C59" i="17"/>
  <c r="D59" i="17"/>
  <c r="L25" i="21"/>
  <c r="D20" i="17"/>
  <c r="D47" i="17" s="1"/>
  <c r="P51" i="21" s="1"/>
  <c r="H37" i="21"/>
  <c r="S217" i="7"/>
  <c r="S216" i="7"/>
  <c r="S215" i="7"/>
  <c r="S214" i="7"/>
  <c r="S213" i="7"/>
  <c r="S212" i="7"/>
  <c r="S211" i="7"/>
  <c r="U217" i="7"/>
  <c r="U216" i="7"/>
  <c r="U215" i="7"/>
  <c r="U214" i="7"/>
  <c r="U211" i="7"/>
  <c r="U213" i="7"/>
  <c r="U212" i="7"/>
  <c r="Z163" i="7"/>
  <c r="U19" i="18" s="1"/>
  <c r="Z162" i="7"/>
  <c r="U18" i="18"/>
  <c r="Z161" i="7"/>
  <c r="U17" i="18"/>
  <c r="Z159" i="7"/>
  <c r="U15" i="18" s="1"/>
  <c r="Z154" i="7"/>
  <c r="U10" i="18" s="1"/>
  <c r="Z153" i="7"/>
  <c r="U9" i="18"/>
  <c r="Z152" i="7"/>
  <c r="U8" i="18"/>
  <c r="Z150" i="7"/>
  <c r="U6" i="18" s="1"/>
  <c r="Z149" i="7"/>
  <c r="U5" i="18" s="1"/>
  <c r="U189" i="7"/>
  <c r="P45" i="18"/>
  <c r="U188" i="7"/>
  <c r="P44" i="18"/>
  <c r="U186" i="7"/>
  <c r="P42" i="18" s="1"/>
  <c r="U185" i="7"/>
  <c r="P41" i="18" s="1"/>
  <c r="U180" i="7"/>
  <c r="P36" i="18"/>
  <c r="U179" i="7"/>
  <c r="P35" i="18"/>
  <c r="U177" i="7"/>
  <c r="P33" i="18" s="1"/>
  <c r="U176" i="7"/>
  <c r="P32" i="18" s="1"/>
  <c r="U162" i="7"/>
  <c r="P18" i="18"/>
  <c r="U161" i="7"/>
  <c r="P17" i="18"/>
  <c r="U159" i="7"/>
  <c r="P15" i="18" s="1"/>
  <c r="U158" i="7"/>
  <c r="P14" i="18" s="1"/>
  <c r="B54" i="9"/>
  <c r="B93" i="11"/>
  <c r="B77" i="11"/>
  <c r="B56" i="9"/>
  <c r="K23" i="17"/>
  <c r="AH23" i="15"/>
  <c r="AH24" i="15"/>
  <c r="G40" i="10"/>
  <c r="K22" i="17"/>
  <c r="K9" i="17"/>
  <c r="AG17" i="15"/>
  <c r="AH22" i="15"/>
  <c r="O16" i="15"/>
  <c r="AG16" i="15" s="1"/>
  <c r="AH21" i="15" s="1"/>
  <c r="B176" i="11"/>
  <c r="B172" i="11"/>
  <c r="T132" i="7"/>
  <c r="B60" i="9"/>
  <c r="T133" i="7"/>
  <c r="B61" i="9"/>
  <c r="T127" i="7"/>
  <c r="B53" i="17" s="1"/>
  <c r="T130" i="7"/>
  <c r="B58" i="9" s="1"/>
  <c r="T131" i="7"/>
  <c r="B59" i="9"/>
  <c r="T125" i="7"/>
  <c r="B53" i="9"/>
  <c r="D70" i="7"/>
  <c r="R80" i="7"/>
  <c r="M95" i="7"/>
  <c r="M94" i="7"/>
  <c r="M93" i="7"/>
  <c r="B25" i="9"/>
  <c r="C25" i="9"/>
  <c r="C24" i="9"/>
  <c r="B24" i="9"/>
  <c r="B16" i="9"/>
  <c r="C16" i="9"/>
  <c r="D16" i="9"/>
  <c r="C15" i="9"/>
  <c r="D15" i="9"/>
  <c r="B15" i="9"/>
  <c r="C14" i="9"/>
  <c r="D14" i="9"/>
  <c r="B14" i="9"/>
  <c r="D48" i="9"/>
  <c r="M14" i="7"/>
  <c r="K93" i="7"/>
  <c r="K94" i="7"/>
  <c r="K95" i="7"/>
  <c r="N96" i="7"/>
  <c r="N97" i="7"/>
  <c r="N98" i="7"/>
  <c r="N99" i="7"/>
  <c r="N100" i="7"/>
  <c r="N95" i="7"/>
  <c r="M39" i="7"/>
  <c r="M32" i="7"/>
  <c r="M31" i="7"/>
  <c r="M15" i="7"/>
  <c r="D69" i="7"/>
  <c r="K96" i="7"/>
  <c r="D43" i="9"/>
  <c r="B227" i="11"/>
  <c r="B213" i="11"/>
  <c r="G120" i="12"/>
  <c r="H120" i="12"/>
  <c r="I120" i="12"/>
  <c r="J120" i="12"/>
  <c r="K120" i="12"/>
  <c r="M120" i="12"/>
  <c r="G119" i="12"/>
  <c r="H119" i="12"/>
  <c r="I119" i="12"/>
  <c r="J119" i="12"/>
  <c r="K119" i="12"/>
  <c r="L119" i="12"/>
  <c r="M119" i="12"/>
  <c r="N119" i="12"/>
  <c r="G118" i="12"/>
  <c r="H118" i="12"/>
  <c r="I118" i="12"/>
  <c r="J118" i="12"/>
  <c r="K118" i="12"/>
  <c r="L118" i="12"/>
  <c r="M118" i="12"/>
  <c r="N118" i="12"/>
  <c r="G117" i="12"/>
  <c r="H117" i="12"/>
  <c r="I117" i="12"/>
  <c r="J117" i="12"/>
  <c r="K117" i="12"/>
  <c r="L117" i="12"/>
  <c r="M117" i="12"/>
  <c r="N117" i="12"/>
  <c r="G116" i="12"/>
  <c r="H116" i="12"/>
  <c r="I116" i="12"/>
  <c r="J116" i="12"/>
  <c r="K116" i="12"/>
  <c r="L116" i="12"/>
  <c r="M116" i="12"/>
  <c r="N116" i="12"/>
  <c r="C123" i="12"/>
  <c r="F120" i="12"/>
  <c r="F119" i="12"/>
  <c r="F118" i="12"/>
  <c r="F117" i="12"/>
  <c r="F116" i="12"/>
  <c r="C108" i="12"/>
  <c r="C101" i="12"/>
  <c r="D101" i="12" s="1"/>
  <c r="C76" i="12"/>
  <c r="C118" i="12" s="1"/>
  <c r="C51" i="12"/>
  <c r="D51" i="12" s="1"/>
  <c r="C26" i="12"/>
  <c r="D26" i="12" s="1"/>
  <c r="D116" i="12" s="1"/>
  <c r="AA146" i="11"/>
  <c r="AB146" i="11"/>
  <c r="AC146" i="11"/>
  <c r="AD146" i="11"/>
  <c r="AE146" i="11"/>
  <c r="AF146" i="11"/>
  <c r="AG146" i="11"/>
  <c r="AH146" i="11"/>
  <c r="AI146" i="11"/>
  <c r="AJ146" i="11"/>
  <c r="AA145" i="11"/>
  <c r="AB145" i="11"/>
  <c r="AC145" i="11"/>
  <c r="AD145" i="11"/>
  <c r="AE145" i="11"/>
  <c r="AF145" i="11"/>
  <c r="AG145" i="11"/>
  <c r="AH145" i="11"/>
  <c r="AI145" i="11"/>
  <c r="AJ145" i="11"/>
  <c r="F129" i="11"/>
  <c r="AJ147" i="11"/>
  <c r="AI147" i="11"/>
  <c r="AH147" i="11"/>
  <c r="AG147" i="11"/>
  <c r="AF147" i="11"/>
  <c r="AE147" i="11"/>
  <c r="AD147" i="11"/>
  <c r="AC147" i="11"/>
  <c r="AB147" i="11"/>
  <c r="D76" i="12"/>
  <c r="D118" i="12" s="1"/>
  <c r="B80" i="12"/>
  <c r="D39" i="9"/>
  <c r="D41" i="9" s="1"/>
  <c r="B105" i="12"/>
  <c r="F40" i="7"/>
  <c r="B55" i="12"/>
  <c r="B30" i="12"/>
  <c r="B5" i="12"/>
  <c r="AD227" i="11"/>
  <c r="AH227" i="11"/>
  <c r="AC227" i="11"/>
  <c r="AG227" i="11"/>
  <c r="AB227" i="11"/>
  <c r="AF227" i="11"/>
  <c r="AE227" i="11"/>
  <c r="AI227" i="11"/>
  <c r="AJ227" i="11"/>
  <c r="AJ230" i="11"/>
  <c r="AJ231" i="11"/>
  <c r="AI231" i="11"/>
  <c r="AI230" i="11"/>
  <c r="AE231" i="11"/>
  <c r="AE230" i="11"/>
  <c r="AF231" i="11"/>
  <c r="AF230" i="11"/>
  <c r="AB231" i="11"/>
  <c r="AB230" i="11"/>
  <c r="AG230" i="11"/>
  <c r="AG231" i="11"/>
  <c r="AC231" i="11"/>
  <c r="AC230" i="11"/>
  <c r="AH231" i="11"/>
  <c r="AH230" i="11"/>
  <c r="AD230" i="11"/>
  <c r="AD231" i="11"/>
  <c r="G227" i="11"/>
  <c r="G230" i="11"/>
  <c r="G231" i="11"/>
  <c r="H227" i="11"/>
  <c r="H230" i="11"/>
  <c r="H231" i="11"/>
  <c r="I227" i="11"/>
  <c r="H229" i="11"/>
  <c r="I229" i="11"/>
  <c r="I230" i="11"/>
  <c r="I231" i="11"/>
  <c r="J227" i="11"/>
  <c r="J229" i="11"/>
  <c r="J230" i="11"/>
  <c r="J231" i="11"/>
  <c r="K227" i="11"/>
  <c r="K229" i="11"/>
  <c r="K230" i="11"/>
  <c r="K231" i="11"/>
  <c r="L229" i="11"/>
  <c r="L227" i="11"/>
  <c r="L231" i="11"/>
  <c r="L230" i="11"/>
  <c r="M227" i="11"/>
  <c r="M229" i="11"/>
  <c r="M231" i="11"/>
  <c r="M230" i="11"/>
  <c r="N229" i="11"/>
  <c r="N227" i="11"/>
  <c r="N231" i="11"/>
  <c r="N230" i="11"/>
  <c r="O229" i="11"/>
  <c r="O227" i="11"/>
  <c r="O230" i="11"/>
  <c r="O231" i="11"/>
  <c r="P229" i="11"/>
  <c r="P227" i="11"/>
  <c r="P230" i="11"/>
  <c r="P231" i="11"/>
  <c r="Q229" i="11"/>
  <c r="Q227" i="11"/>
  <c r="Q230" i="11"/>
  <c r="Q231" i="11"/>
  <c r="R227" i="11"/>
  <c r="R230" i="11"/>
  <c r="R231" i="11"/>
  <c r="R229" i="11"/>
  <c r="S229" i="11"/>
  <c r="S227" i="11"/>
  <c r="T227" i="11"/>
  <c r="S230" i="11"/>
  <c r="S231" i="11"/>
  <c r="T229" i="11"/>
  <c r="U227" i="11"/>
  <c r="T230" i="11"/>
  <c r="T231" i="11"/>
  <c r="U229" i="11"/>
  <c r="U231" i="11"/>
  <c r="U230" i="11"/>
  <c r="V229" i="11"/>
  <c r="V227" i="11"/>
  <c r="W227" i="11"/>
  <c r="V230" i="11"/>
  <c r="V231" i="11"/>
  <c r="W229" i="11"/>
  <c r="W230" i="11"/>
  <c r="W231" i="11"/>
  <c r="X229" i="11"/>
  <c r="X227" i="11"/>
  <c r="Y227" i="11"/>
  <c r="X230" i="11"/>
  <c r="X231" i="11"/>
  <c r="Y230" i="11"/>
  <c r="Z227" i="11"/>
  <c r="Y229" i="11"/>
  <c r="AA227" i="11"/>
  <c r="Z230" i="11"/>
  <c r="Y231" i="11"/>
  <c r="Z229" i="11"/>
  <c r="AA230" i="11"/>
  <c r="AA231" i="11"/>
  <c r="Z231" i="11"/>
  <c r="AA229" i="11"/>
  <c r="AB229" i="11"/>
  <c r="AC229" i="11"/>
  <c r="AD229" i="11"/>
  <c r="AE229" i="11"/>
  <c r="AF229" i="11"/>
  <c r="AG229" i="11"/>
  <c r="AH229" i="11"/>
  <c r="AI229" i="11"/>
  <c r="AJ229" i="11"/>
  <c r="AC213" i="11"/>
  <c r="AC217" i="11"/>
  <c r="AC216" i="11"/>
  <c r="AF217" i="11"/>
  <c r="AF216" i="11"/>
  <c r="AD217" i="11"/>
  <c r="AD216" i="11"/>
  <c r="AG217" i="11"/>
  <c r="AG216" i="11"/>
  <c r="AB217" i="11"/>
  <c r="AB216" i="11"/>
  <c r="AI217" i="11"/>
  <c r="AI216" i="11"/>
  <c r="AE217" i="11"/>
  <c r="AE216" i="11"/>
  <c r="AJ217" i="11"/>
  <c r="AJ216" i="11"/>
  <c r="AH216" i="11"/>
  <c r="AH217" i="11"/>
  <c r="P36" i="7"/>
  <c r="G213" i="11"/>
  <c r="G216" i="11"/>
  <c r="G217" i="11"/>
  <c r="H215" i="11"/>
  <c r="H216" i="11"/>
  <c r="H217" i="11"/>
  <c r="I215" i="11"/>
  <c r="I217" i="11"/>
  <c r="I216" i="11"/>
  <c r="J215" i="11"/>
  <c r="J217" i="11"/>
  <c r="K217" i="11"/>
  <c r="L215" i="11"/>
  <c r="L217" i="11"/>
  <c r="M216" i="11"/>
  <c r="M217" i="11"/>
  <c r="N216" i="11"/>
  <c r="N217" i="11"/>
  <c r="O216" i="11"/>
  <c r="O217" i="11"/>
  <c r="P216" i="11"/>
  <c r="P217" i="11"/>
  <c r="Q216" i="11"/>
  <c r="Q217" i="11"/>
  <c r="R216" i="11"/>
  <c r="R217" i="11"/>
  <c r="S216" i="11"/>
  <c r="S217" i="11"/>
  <c r="T216" i="11"/>
  <c r="T217" i="11"/>
  <c r="U215" i="11"/>
  <c r="U217" i="11"/>
  <c r="V215" i="11"/>
  <c r="V217" i="11"/>
  <c r="W215" i="11"/>
  <c r="W217" i="11"/>
  <c r="X215" i="11"/>
  <c r="X217" i="11"/>
  <c r="Y215" i="11"/>
  <c r="Y217" i="11"/>
  <c r="Z215" i="11"/>
  <c r="Z217" i="11"/>
  <c r="AA217" i="11"/>
  <c r="AA215" i="11"/>
  <c r="AB215" i="11"/>
  <c r="AC215" i="11"/>
  <c r="AD215" i="11"/>
  <c r="AE215" i="11"/>
  <c r="AF215" i="11"/>
  <c r="AG215" i="11"/>
  <c r="AH215" i="11"/>
  <c r="AI215" i="11"/>
  <c r="AJ215" i="11"/>
  <c r="AA216" i="11"/>
  <c r="Z216" i="11"/>
  <c r="Z213" i="11"/>
  <c r="Y216" i="11"/>
  <c r="Y213" i="11"/>
  <c r="X216" i="11"/>
  <c r="X213" i="11"/>
  <c r="W216" i="11"/>
  <c r="W213" i="11"/>
  <c r="V216" i="11"/>
  <c r="V213" i="11"/>
  <c r="U216" i="11"/>
  <c r="U213" i="11"/>
  <c r="T213" i="11"/>
  <c r="T215" i="11"/>
  <c r="S213" i="11"/>
  <c r="S215" i="11"/>
  <c r="R215" i="11"/>
  <c r="R213" i="11"/>
  <c r="Q213" i="11"/>
  <c r="Q215" i="11"/>
  <c r="P213" i="11"/>
  <c r="P215" i="11"/>
  <c r="O215" i="11"/>
  <c r="AA213" i="11"/>
  <c r="N215" i="11"/>
  <c r="N213" i="11"/>
  <c r="O213" i="11"/>
  <c r="M213" i="11"/>
  <c r="M215" i="11"/>
  <c r="L216" i="11"/>
  <c r="L213" i="11"/>
  <c r="K215" i="11"/>
  <c r="K216" i="11"/>
  <c r="K213" i="11"/>
  <c r="J216" i="11"/>
  <c r="J213" i="11"/>
  <c r="I213" i="11"/>
  <c r="H213" i="11"/>
  <c r="AB213" i="11"/>
  <c r="AD213" i="11"/>
  <c r="AE213" i="11"/>
  <c r="AF213" i="11"/>
  <c r="AG213" i="11"/>
  <c r="AH213" i="11"/>
  <c r="AI213" i="11"/>
  <c r="AJ213" i="11"/>
  <c r="R104" i="19"/>
  <c r="C40" i="23" s="1"/>
  <c r="L38" i="21"/>
  <c r="P38" i="21"/>
  <c r="R38" i="21"/>
  <c r="B55" i="9"/>
  <c r="F12" i="26"/>
  <c r="T128" i="7"/>
  <c r="B54" i="17"/>
  <c r="B57" i="17"/>
  <c r="B56" i="17"/>
  <c r="B51" i="17"/>
  <c r="B59" i="17"/>
  <c r="B58" i="17"/>
  <c r="D25" i="9"/>
  <c r="B52" i="9"/>
  <c r="T124" i="7"/>
  <c r="B71" i="11"/>
  <c r="T123" i="7"/>
  <c r="D24" i="19" s="1"/>
  <c r="B61" i="17"/>
  <c r="B62" i="17"/>
  <c r="B51" i="9"/>
  <c r="D80" i="7"/>
  <c r="K171" i="11"/>
  <c r="J172" i="11" s="1"/>
  <c r="R171" i="11"/>
  <c r="Q172" i="11" s="1"/>
  <c r="W171" i="11"/>
  <c r="V172" i="11" s="1"/>
  <c r="O171" i="11"/>
  <c r="N172" i="11" s="1"/>
  <c r="D34" i="9"/>
  <c r="F79" i="26"/>
  <c r="G14" i="11"/>
  <c r="C7" i="10" s="1"/>
  <c r="D7" i="9"/>
  <c r="H28" i="11"/>
  <c r="I28" i="11" s="1"/>
  <c r="P43" i="7"/>
  <c r="H12" i="11" s="1"/>
  <c r="P22" i="7"/>
  <c r="H9" i="11" s="1"/>
  <c r="P153" i="7"/>
  <c r="H6" i="11" s="1"/>
  <c r="N116" i="11"/>
  <c r="G116" i="11"/>
  <c r="AF19" i="11"/>
  <c r="AF78" i="11" s="1"/>
  <c r="AC4" i="11"/>
  <c r="AD5" i="11"/>
  <c r="AA5" i="11"/>
  <c r="AG116" i="11"/>
  <c r="R116" i="11"/>
  <c r="X116" i="11"/>
  <c r="V116" i="11"/>
  <c r="J116" i="11"/>
  <c r="AD116" i="11"/>
  <c r="U116" i="11"/>
  <c r="AF16" i="11"/>
  <c r="AF75" i="11" s="1"/>
  <c r="AI116" i="11"/>
  <c r="AC5" i="11"/>
  <c r="AF18" i="11"/>
  <c r="AH16" i="11"/>
  <c r="AH75" i="11" s="1"/>
  <c r="AG175" i="11"/>
  <c r="AG176" i="11" s="1"/>
  <c r="AG16" i="11"/>
  <c r="AG75" i="11" s="1"/>
  <c r="AJ180" i="11"/>
  <c r="Q116" i="11"/>
  <c r="AG5" i="11"/>
  <c r="O116" i="11"/>
  <c r="AJ116" i="11"/>
  <c r="AC180" i="11"/>
  <c r="AC18" i="11"/>
  <c r="AI5" i="11"/>
  <c r="AC116" i="11"/>
  <c r="AE18" i="11"/>
  <c r="AA175" i="11"/>
  <c r="AA176" i="11" s="1"/>
  <c r="AJ16" i="11"/>
  <c r="AJ75" i="11" s="1"/>
  <c r="P116" i="11"/>
  <c r="AF116" i="11"/>
  <c r="AJ19" i="11"/>
  <c r="AJ78" i="11" s="1"/>
  <c r="AB19" i="11"/>
  <c r="AB78" i="11" s="1"/>
  <c r="AB5" i="11"/>
  <c r="AE16" i="11"/>
  <c r="AE75" i="11" s="1"/>
  <c r="AH180" i="11"/>
  <c r="AH56" i="11" s="1"/>
  <c r="T116" i="11"/>
  <c r="AB30" i="11"/>
  <c r="AA116" i="11"/>
  <c r="AG180" i="11"/>
  <c r="AI19" i="11"/>
  <c r="AA18" i="11"/>
  <c r="AH175" i="11"/>
  <c r="AH176" i="11" s="1"/>
  <c r="AJ4" i="11"/>
  <c r="AA180" i="11"/>
  <c r="AA56" i="11" s="1"/>
  <c r="AE4" i="11"/>
  <c r="AE19" i="11"/>
  <c r="AE78" i="11" s="1"/>
  <c r="M116" i="11"/>
  <c r="Z116" i="11"/>
  <c r="AF175" i="11"/>
  <c r="AF176" i="11" s="1"/>
  <c r="AH116" i="11"/>
  <c r="AJ18" i="11"/>
  <c r="AE5" i="11"/>
  <c r="AA16" i="11"/>
  <c r="AA75" i="11" s="1"/>
  <c r="W116" i="11"/>
  <c r="AC19" i="11"/>
  <c r="AC78" i="11" s="1"/>
  <c r="AI175" i="11"/>
  <c r="AI176" i="11" s="1"/>
  <c r="AD175" i="11"/>
  <c r="AD176" i="11" s="1"/>
  <c r="O175" i="11"/>
  <c r="O176" i="11" s="1"/>
  <c r="AI18" i="11"/>
  <c r="AI30" i="11"/>
  <c r="AD16" i="11"/>
  <c r="AD75" i="11" s="1"/>
  <c r="K116" i="11"/>
  <c r="AH19" i="11"/>
  <c r="AH78" i="11" s="1"/>
  <c r="AG19" i="11"/>
  <c r="AG78" i="11" s="1"/>
  <c r="AE180" i="11"/>
  <c r="AE56" i="11" s="1"/>
  <c r="AF180" i="11"/>
  <c r="AF56" i="11" s="1"/>
  <c r="Y116" i="11"/>
  <c r="H116" i="11"/>
  <c r="AB4" i="11"/>
  <c r="AC30" i="11"/>
  <c r="AD180" i="11"/>
  <c r="Z175" i="11"/>
  <c r="Z176" i="11" s="1"/>
  <c r="AD30" i="11"/>
  <c r="AH18" i="11"/>
  <c r="AD19" i="11"/>
  <c r="AD78" i="11" s="1"/>
  <c r="AF30" i="11"/>
  <c r="AJ175" i="11"/>
  <c r="AJ176" i="11" s="1"/>
  <c r="AD18" i="11"/>
  <c r="AH30" i="11"/>
  <c r="U175" i="11"/>
  <c r="U176" i="11" s="1"/>
  <c r="AI180" i="11"/>
  <c r="AI56" i="11" s="1"/>
  <c r="W175" i="11"/>
  <c r="W176" i="11" s="1"/>
  <c r="AA4" i="11"/>
  <c r="AB18" i="11"/>
  <c r="AC175" i="11"/>
  <c r="AC176" i="11" s="1"/>
  <c r="L116" i="11"/>
  <c r="J175" i="11"/>
  <c r="J176" i="11" s="1"/>
  <c r="AB116" i="11"/>
  <c r="AE116" i="11"/>
  <c r="AF15" i="11"/>
  <c r="AF74" i="11" s="1"/>
  <c r="AH5" i="11"/>
  <c r="AB175" i="11"/>
  <c r="AB176" i="11" s="1"/>
  <c r="AF4" i="11"/>
  <c r="AD4" i="11"/>
  <c r="AB180" i="11"/>
  <c r="AG18" i="11"/>
  <c r="AG30" i="11"/>
  <c r="S116" i="11"/>
  <c r="AA19" i="11"/>
  <c r="AA78" i="11" s="1"/>
  <c r="AF5" i="11"/>
  <c r="AA30" i="11"/>
  <c r="AC16" i="11"/>
  <c r="AC75" i="11" s="1"/>
  <c r="AA15" i="11"/>
  <c r="AA74" i="11" s="1"/>
  <c r="AI4" i="11"/>
  <c r="AG4" i="11"/>
  <c r="K175" i="11"/>
  <c r="K176" i="11" s="1"/>
  <c r="AB16" i="11"/>
  <c r="AB75" i="11" s="1"/>
  <c r="I116" i="11"/>
  <c r="AH4" i="11"/>
  <c r="AJ5" i="11"/>
  <c r="AI16" i="11"/>
  <c r="AI75" i="11" s="1"/>
  <c r="AE15" i="11"/>
  <c r="AE74" i="11" s="1"/>
  <c r="AD15" i="11"/>
  <c r="AD74" i="11" s="1"/>
  <c r="AI15" i="11"/>
  <c r="AI74" i="11" s="1"/>
  <c r="AC15" i="11"/>
  <c r="AC74" i="11" s="1"/>
  <c r="X175" i="11"/>
  <c r="P42" i="7"/>
  <c r="AA22" i="11" s="1"/>
  <c r="AG15" i="11"/>
  <c r="AG74" i="11" s="1"/>
  <c r="AH15" i="11"/>
  <c r="AH74" i="11" s="1"/>
  <c r="AJ30" i="11"/>
  <c r="AB15" i="11"/>
  <c r="AB74" i="11" s="1"/>
  <c r="AE30" i="11"/>
  <c r="S28" i="10"/>
  <c r="F34" i="10"/>
  <c r="I33" i="10"/>
  <c r="D18" i="9"/>
  <c r="S27" i="10"/>
  <c r="AI179" i="11"/>
  <c r="AG32" i="11"/>
  <c r="AA178" i="11"/>
  <c r="D36" i="10"/>
  <c r="AD179" i="11"/>
  <c r="U179" i="11"/>
  <c r="J179" i="11"/>
  <c r="P32" i="10"/>
  <c r="J29" i="10"/>
  <c r="P27" i="10"/>
  <c r="J28" i="10"/>
  <c r="J27" i="10"/>
  <c r="O179" i="11"/>
  <c r="T179" i="11"/>
  <c r="H28" i="10"/>
  <c r="P34" i="10"/>
  <c r="AB179" i="11"/>
  <c r="M34" i="10"/>
  <c r="E36" i="10"/>
  <c r="C28" i="10"/>
  <c r="O31" i="10"/>
  <c r="R33" i="10"/>
  <c r="Y179" i="11"/>
  <c r="C34" i="10"/>
  <c r="I179" i="11"/>
  <c r="C35" i="10"/>
  <c r="C32" i="10"/>
  <c r="AA35" i="11"/>
  <c r="O35" i="10"/>
  <c r="AI32" i="11"/>
  <c r="F27" i="10"/>
  <c r="O33" i="10"/>
  <c r="H30" i="10"/>
  <c r="S36" i="10"/>
  <c r="D31" i="10"/>
  <c r="I27" i="10"/>
  <c r="S34" i="10"/>
  <c r="F33" i="10"/>
  <c r="F32" i="10"/>
  <c r="M33" i="10"/>
  <c r="AB178" i="11"/>
  <c r="H35" i="10"/>
  <c r="S32" i="10"/>
  <c r="AD35" i="11"/>
  <c r="F35" i="10"/>
  <c r="AJ179" i="11"/>
  <c r="J36" i="10"/>
  <c r="M19" i="7"/>
  <c r="H33" i="10"/>
  <c r="P29" i="10"/>
  <c r="G35" i="10"/>
  <c r="L34" i="10"/>
  <c r="K27" i="10"/>
  <c r="C33" i="10"/>
  <c r="G34" i="10"/>
  <c r="L179" i="11"/>
  <c r="C30" i="10"/>
  <c r="O27" i="10"/>
  <c r="K32" i="10"/>
  <c r="D32" i="10"/>
  <c r="R27" i="10"/>
  <c r="E34" i="10"/>
  <c r="AD178" i="11"/>
  <c r="P28" i="10"/>
  <c r="G36" i="10"/>
  <c r="G28" i="10"/>
  <c r="E32" i="10"/>
  <c r="H179" i="11"/>
  <c r="O36" i="10"/>
  <c r="N179" i="11"/>
  <c r="K28" i="10"/>
  <c r="D35" i="10"/>
  <c r="Q179" i="11"/>
  <c r="D27" i="10"/>
  <c r="K31" i="10"/>
  <c r="S31" i="10"/>
  <c r="R31" i="10"/>
  <c r="AI178" i="11"/>
  <c r="R28" i="10"/>
  <c r="H34" i="10"/>
  <c r="L33" i="10"/>
  <c r="S35" i="10"/>
  <c r="AB35" i="11"/>
  <c r="P179" i="11"/>
  <c r="J32" i="10"/>
  <c r="AF35" i="11"/>
  <c r="J35" i="10"/>
  <c r="F29" i="10"/>
  <c r="E33" i="10"/>
  <c r="P36" i="10"/>
  <c r="O29" i="10"/>
  <c r="E29" i="10"/>
  <c r="R179" i="11"/>
  <c r="W179" i="11"/>
  <c r="AB32" i="11"/>
  <c r="G31" i="10"/>
  <c r="G29" i="10"/>
  <c r="D30" i="10"/>
  <c r="D24" i="7"/>
  <c r="L29" i="10"/>
  <c r="L30" i="10"/>
  <c r="I29" i="10"/>
  <c r="AG179" i="11"/>
  <c r="AE32" i="11"/>
  <c r="AJ35" i="11"/>
  <c r="H27" i="10"/>
  <c r="S30" i="10"/>
  <c r="M33" i="7"/>
  <c r="I36" i="10"/>
  <c r="I30" i="10"/>
  <c r="AH32" i="11"/>
  <c r="AC179" i="11"/>
  <c r="L36" i="10"/>
  <c r="C36" i="10"/>
  <c r="AF178" i="11"/>
  <c r="AH35" i="11"/>
  <c r="G179" i="11"/>
  <c r="S33" i="10"/>
  <c r="E27" i="10"/>
  <c r="AD32" i="11"/>
  <c r="L35" i="10"/>
  <c r="D33" i="10"/>
  <c r="L27" i="10"/>
  <c r="AI35" i="11"/>
  <c r="J33" i="10"/>
  <c r="F31" i="10"/>
  <c r="X179" i="11"/>
  <c r="R32" i="10"/>
  <c r="M36" i="10"/>
  <c r="J34" i="10"/>
  <c r="S29" i="10"/>
  <c r="AC178" i="11"/>
  <c r="J31" i="10"/>
  <c r="F30" i="10"/>
  <c r="AA32" i="11"/>
  <c r="C27" i="10"/>
  <c r="G30" i="10"/>
  <c r="P31" i="10"/>
  <c r="H32" i="10"/>
  <c r="D28" i="10"/>
  <c r="F28" i="10"/>
  <c r="O28" i="10"/>
  <c r="I35" i="10"/>
  <c r="K179" i="11"/>
  <c r="L32" i="10"/>
  <c r="AC32" i="11"/>
  <c r="O34" i="10"/>
  <c r="D34" i="10"/>
  <c r="AH178" i="11"/>
  <c r="L31" i="10"/>
  <c r="M32" i="10"/>
  <c r="I34" i="10"/>
  <c r="AF179" i="11"/>
  <c r="E31" i="10"/>
  <c r="I32" i="10"/>
  <c r="G32" i="10"/>
  <c r="K30" i="10"/>
  <c r="R35" i="10"/>
  <c r="K29" i="10"/>
  <c r="E30" i="10"/>
  <c r="AA179" i="11"/>
  <c r="E28" i="10"/>
  <c r="G33" i="10"/>
  <c r="I28" i="10"/>
  <c r="P35" i="10"/>
  <c r="O32" i="10"/>
  <c r="AH179" i="11"/>
  <c r="C31" i="10"/>
  <c r="O30" i="10"/>
  <c r="P33" i="10"/>
  <c r="M29" i="10"/>
  <c r="K34" i="10"/>
  <c r="H29" i="10"/>
  <c r="AC35" i="11"/>
  <c r="C29" i="10"/>
  <c r="K35" i="10"/>
  <c r="G27" i="10"/>
  <c r="AE179" i="11"/>
  <c r="AG178" i="11"/>
  <c r="L28" i="10"/>
  <c r="S179" i="11"/>
  <c r="M179" i="11"/>
  <c r="M31" i="10"/>
  <c r="AF32" i="11"/>
  <c r="AG35" i="11"/>
  <c r="D29" i="10"/>
  <c r="R36" i="10"/>
  <c r="M35" i="10"/>
  <c r="AJ32" i="11"/>
  <c r="H31" i="10"/>
  <c r="I31" i="10"/>
  <c r="R29" i="10"/>
  <c r="AE178" i="11"/>
  <c r="K33" i="10"/>
  <c r="K36" i="10"/>
  <c r="R34" i="10"/>
  <c r="R30" i="10"/>
  <c r="V179" i="11"/>
  <c r="F36" i="10"/>
  <c r="E35" i="10"/>
  <c r="M27" i="10"/>
  <c r="P30" i="10"/>
  <c r="J30" i="10"/>
  <c r="AE35" i="11"/>
  <c r="AJ178" i="11"/>
  <c r="H36" i="10"/>
  <c r="AE175" i="11"/>
  <c r="AE176" i="11" s="1"/>
  <c r="AJ15" i="11"/>
  <c r="AJ74" i="11" s="1"/>
  <c r="P89" i="26"/>
  <c r="P237" i="11"/>
  <c r="P47" i="11" s="1"/>
  <c r="P77" i="26"/>
  <c r="B51" i="15"/>
  <c r="C75" i="26" s="1"/>
  <c r="D32" i="21"/>
  <c r="L32" i="21" s="1"/>
  <c r="H32" i="21"/>
  <c r="C94" i="17"/>
  <c r="C93" i="17"/>
  <c r="C88" i="17"/>
  <c r="S102" i="19" a="1"/>
  <c r="E119" i="27" a="1"/>
  <c r="C90" i="17"/>
  <c r="E126" i="27" a="1"/>
  <c r="C89" i="17"/>
  <c r="C92" i="17"/>
  <c r="C91" i="17"/>
  <c r="S106" i="19" a="1"/>
  <c r="N44" i="15" l="1"/>
  <c r="N48" i="15"/>
  <c r="N47" i="15"/>
  <c r="N45" i="15"/>
  <c r="AB119" i="7"/>
  <c r="E43" i="17"/>
  <c r="AB125" i="7"/>
  <c r="E37" i="17"/>
  <c r="O31" i="21"/>
  <c r="S31" i="21" s="1"/>
  <c r="AH50" i="15" s="1"/>
  <c r="AI50" i="15" s="1"/>
  <c r="AK50" i="15" s="1"/>
  <c r="AL50" i="15" s="1"/>
  <c r="K48" i="21"/>
  <c r="L48" i="21" s="1"/>
  <c r="Q10" i="21"/>
  <c r="C111" i="11"/>
  <c r="R112" i="11" s="1"/>
  <c r="L31" i="21"/>
  <c r="K45" i="21"/>
  <c r="L45" i="21" s="1"/>
  <c r="S32" i="21"/>
  <c r="AH51" i="15" s="1"/>
  <c r="D54" i="15"/>
  <c r="D50" i="27"/>
  <c r="M175" i="11"/>
  <c r="M176" i="11" s="1"/>
  <c r="S175" i="11"/>
  <c r="Q175" i="11"/>
  <c r="L175" i="11"/>
  <c r="V175" i="11"/>
  <c r="H175" i="11"/>
  <c r="H176" i="11" s="1"/>
  <c r="H177" i="11" s="1"/>
  <c r="H178" i="11" s="1"/>
  <c r="T175" i="11"/>
  <c r="T176" i="11" s="1"/>
  <c r="D66" i="7"/>
  <c r="D36" i="9"/>
  <c r="D37" i="9" s="1"/>
  <c r="Y175" i="11"/>
  <c r="Y176" i="11" s="1"/>
  <c r="Y46" i="11" s="1"/>
  <c r="Y84" i="11" s="1"/>
  <c r="G25" i="10" s="1"/>
  <c r="I175" i="11"/>
  <c r="N175" i="11"/>
  <c r="R175" i="11"/>
  <c r="R176" i="11" s="1"/>
  <c r="R31" i="21"/>
  <c r="H31" i="21"/>
  <c r="R32" i="21"/>
  <c r="H33" i="21"/>
  <c r="H39" i="21" s="1"/>
  <c r="H41" i="21" s="1"/>
  <c r="P32" i="21"/>
  <c r="L33" i="21"/>
  <c r="P33" i="21"/>
  <c r="C106" i="12"/>
  <c r="C117" i="12"/>
  <c r="D117" i="12"/>
  <c r="C116" i="12"/>
  <c r="D119" i="12"/>
  <c r="C119" i="12"/>
  <c r="H121" i="12"/>
  <c r="M121" i="12"/>
  <c r="C107" i="12"/>
  <c r="L120" i="12" s="1"/>
  <c r="L121" i="12" s="1"/>
  <c r="K121" i="12"/>
  <c r="J121" i="12"/>
  <c r="I121" i="12"/>
  <c r="G121" i="12"/>
  <c r="F121" i="12"/>
  <c r="AJ129" i="11"/>
  <c r="AJ134" i="11" s="1"/>
  <c r="AE39" i="11"/>
  <c r="V39" i="11"/>
  <c r="P22" i="10" s="1"/>
  <c r="AJ128" i="11"/>
  <c r="AJ41" i="11" s="1"/>
  <c r="W129" i="11"/>
  <c r="W134" i="11" s="1"/>
  <c r="Q128" i="11"/>
  <c r="Q41" i="11" s="1"/>
  <c r="AF128" i="11"/>
  <c r="AF41" i="11" s="1"/>
  <c r="AC128" i="11"/>
  <c r="AC41" i="11" s="1"/>
  <c r="T39" i="11"/>
  <c r="P20" i="10" s="1"/>
  <c r="AB129" i="11"/>
  <c r="AB45" i="11" s="1"/>
  <c r="AB83" i="11" s="1"/>
  <c r="T128" i="11"/>
  <c r="T41" i="11" s="1"/>
  <c r="AA128" i="11"/>
  <c r="AA41" i="11" s="1"/>
  <c r="X39" i="11"/>
  <c r="P24" i="10" s="1"/>
  <c r="AD39" i="11"/>
  <c r="Y39" i="11"/>
  <c r="P25" i="10" s="1"/>
  <c r="Z129" i="11"/>
  <c r="Z45" i="11" s="1"/>
  <c r="Z83" i="11" s="1"/>
  <c r="W39" i="11"/>
  <c r="P23" i="10" s="1"/>
  <c r="X129" i="11"/>
  <c r="X45" i="11" s="1"/>
  <c r="X83" i="11" s="1"/>
  <c r="U39" i="11"/>
  <c r="P21" i="10" s="1"/>
  <c r="T129" i="11"/>
  <c r="T45" i="11" s="1"/>
  <c r="T83" i="11" s="1"/>
  <c r="AF129" i="11"/>
  <c r="AF45" i="11" s="1"/>
  <c r="AF83" i="11" s="1"/>
  <c r="AG128" i="11"/>
  <c r="AG41" i="11" s="1"/>
  <c r="AH129" i="11"/>
  <c r="AH45" i="11" s="1"/>
  <c r="AH83" i="11" s="1"/>
  <c r="AE129" i="11"/>
  <c r="AE134" i="11" s="1"/>
  <c r="U129" i="11"/>
  <c r="U45" i="11" s="1"/>
  <c r="U83" i="11" s="1"/>
  <c r="V129" i="11"/>
  <c r="V134" i="11" s="1"/>
  <c r="Y128" i="11"/>
  <c r="Y41" i="11" s="1"/>
  <c r="AF39" i="11"/>
  <c r="AB128" i="11"/>
  <c r="AB41" i="11" s="1"/>
  <c r="AA39" i="11"/>
  <c r="AI39" i="11"/>
  <c r="AC129" i="11"/>
  <c r="AC134" i="11" s="1"/>
  <c r="Z39" i="11"/>
  <c r="P26" i="10" s="1"/>
  <c r="V128" i="11"/>
  <c r="AI129" i="11"/>
  <c r="AI45" i="11" s="1"/>
  <c r="AI83" i="11" s="1"/>
  <c r="Z128" i="11"/>
  <c r="Z41" i="11" s="1"/>
  <c r="R128" i="11"/>
  <c r="R41" i="11" s="1"/>
  <c r="AC39" i="11"/>
  <c r="AJ39" i="11"/>
  <c r="R129" i="11"/>
  <c r="R45" i="11" s="1"/>
  <c r="R83" i="11" s="1"/>
  <c r="AG39" i="11"/>
  <c r="AH39" i="11"/>
  <c r="AE128" i="11"/>
  <c r="AE41" i="11" s="1"/>
  <c r="S39" i="11"/>
  <c r="P19" i="10" s="1"/>
  <c r="D67" i="7"/>
  <c r="AG129" i="11"/>
  <c r="AG134" i="11" s="1"/>
  <c r="R39" i="11"/>
  <c r="P18" i="10" s="1"/>
  <c r="S128" i="11"/>
  <c r="S41" i="11" s="1"/>
  <c r="W128" i="11"/>
  <c r="W41" i="11" s="1"/>
  <c r="Q39" i="11"/>
  <c r="P17" i="10" s="1"/>
  <c r="AI128" i="11"/>
  <c r="AI41" i="11" s="1"/>
  <c r="Y129" i="11"/>
  <c r="Y134" i="11" s="1"/>
  <c r="Q129" i="11"/>
  <c r="Q45" i="11" s="1"/>
  <c r="Q83" i="11" s="1"/>
  <c r="AH128" i="11"/>
  <c r="AB39" i="11"/>
  <c r="S129" i="11"/>
  <c r="S45" i="11" s="1"/>
  <c r="S83" i="11" s="1"/>
  <c r="AA129" i="11"/>
  <c r="AA45" i="11" s="1"/>
  <c r="AA83" i="11" s="1"/>
  <c r="X128" i="11"/>
  <c r="X41" i="11" s="1"/>
  <c r="U128" i="11"/>
  <c r="U41" i="11" s="1"/>
  <c r="AD129" i="11"/>
  <c r="AD134" i="11" s="1"/>
  <c r="P171" i="11"/>
  <c r="O172" i="11" s="1"/>
  <c r="O46" i="11" s="1"/>
  <c r="O84" i="11" s="1"/>
  <c r="G15" i="10" s="1"/>
  <c r="S171" i="11"/>
  <c r="R172" i="11" s="1"/>
  <c r="G172" i="11"/>
  <c r="G173" i="11" s="1"/>
  <c r="G174" i="11" s="1"/>
  <c r="X171" i="11"/>
  <c r="W172" i="11" s="1"/>
  <c r="W46" i="11" s="1"/>
  <c r="W84" i="11" s="1"/>
  <c r="G23" i="10" s="1"/>
  <c r="L171" i="11"/>
  <c r="K172" i="11" s="1"/>
  <c r="K46" i="11" s="1"/>
  <c r="K84" i="11" s="1"/>
  <c r="G11" i="10" s="1"/>
  <c r="M163" i="7"/>
  <c r="M171" i="11"/>
  <c r="L172" i="11" s="1"/>
  <c r="I171" i="11"/>
  <c r="H172" i="11" s="1"/>
  <c r="T171" i="11"/>
  <c r="S172" i="11" s="1"/>
  <c r="U171" i="11"/>
  <c r="T172" i="11" s="1"/>
  <c r="Q171" i="11"/>
  <c r="H171" i="11"/>
  <c r="M47" i="7"/>
  <c r="N171" i="11"/>
  <c r="M172" i="11" s="1"/>
  <c r="Y171" i="11"/>
  <c r="X172" i="11" s="1"/>
  <c r="V171" i="11"/>
  <c r="U172" i="11" s="1"/>
  <c r="U46" i="11" s="1"/>
  <c r="U84" i="11" s="1"/>
  <c r="G21" i="10" s="1"/>
  <c r="H51" i="21"/>
  <c r="G114" i="11"/>
  <c r="E47" i="17"/>
  <c r="N114" i="11"/>
  <c r="L51" i="21"/>
  <c r="S112" i="11"/>
  <c r="C7" i="21"/>
  <c r="Q47" i="21" s="1"/>
  <c r="R47" i="21" s="1"/>
  <c r="R49" i="21" s="1"/>
  <c r="O45" i="21"/>
  <c r="P45" i="21" s="1"/>
  <c r="AB112" i="11"/>
  <c r="R51" i="21"/>
  <c r="D63" i="27"/>
  <c r="E63" i="27" s="1"/>
  <c r="F63" i="27" s="1"/>
  <c r="E29" i="27"/>
  <c r="I85" i="26"/>
  <c r="AA114" i="11"/>
  <c r="E50" i="15"/>
  <c r="N50" i="15" s="1"/>
  <c r="L6" i="17"/>
  <c r="L23" i="17"/>
  <c r="D54" i="9"/>
  <c r="C52" i="17" s="1"/>
  <c r="D52" i="17" s="1"/>
  <c r="E52" i="17" s="1"/>
  <c r="B11" i="15"/>
  <c r="B40" i="15" s="1"/>
  <c r="B41" i="15" s="1"/>
  <c r="G16" i="11"/>
  <c r="X126" i="7" s="1"/>
  <c r="M9" i="27"/>
  <c r="E51" i="15"/>
  <c r="E58" i="15"/>
  <c r="M7" i="27"/>
  <c r="I37" i="26" s="1"/>
  <c r="E5" i="27"/>
  <c r="M8" i="27"/>
  <c r="AJ222" i="11"/>
  <c r="AJ224" i="11" s="1"/>
  <c r="AJ65" i="11" s="1"/>
  <c r="AH222" i="11"/>
  <c r="AH224" i="11" s="1"/>
  <c r="AH65" i="11" s="1"/>
  <c r="AF222" i="11"/>
  <c r="AF224" i="11" s="1"/>
  <c r="AF65" i="11" s="1"/>
  <c r="AD222" i="11"/>
  <c r="AD224" i="11" s="1"/>
  <c r="AD65" i="11" s="1"/>
  <c r="AB222" i="11"/>
  <c r="AB224" i="11" s="1"/>
  <c r="AB65" i="11" s="1"/>
  <c r="AI222" i="11"/>
  <c r="AI224" i="11" s="1"/>
  <c r="AI65" i="11" s="1"/>
  <c r="AG222" i="11"/>
  <c r="AG224" i="11" s="1"/>
  <c r="AG65" i="11" s="1"/>
  <c r="AE222" i="11"/>
  <c r="AE224" i="11" s="1"/>
  <c r="AE65" i="11" s="1"/>
  <c r="AC222" i="11"/>
  <c r="AC224" i="11" s="1"/>
  <c r="AC65" i="11" s="1"/>
  <c r="AA222" i="11"/>
  <c r="AA224" i="11" s="1"/>
  <c r="AA65" i="11" s="1"/>
  <c r="P67" i="7"/>
  <c r="P73" i="7" s="1"/>
  <c r="V192" i="7"/>
  <c r="V193" i="7" s="1"/>
  <c r="D40" i="9"/>
  <c r="M63" i="7"/>
  <c r="G232" i="11"/>
  <c r="I10" i="26"/>
  <c r="N28" i="15"/>
  <c r="AF12" i="15"/>
  <c r="AF22" i="15" s="1"/>
  <c r="AF28" i="15" s="1"/>
  <c r="I9" i="26"/>
  <c r="E58" i="17"/>
  <c r="AC22" i="11"/>
  <c r="AC23" i="11" s="1"/>
  <c r="AG22" i="11"/>
  <c r="AG23" i="11" s="1"/>
  <c r="AB22" i="11"/>
  <c r="AB23" i="11" s="1"/>
  <c r="AE22" i="11"/>
  <c r="AE23" i="11" s="1"/>
  <c r="M40" i="7"/>
  <c r="AJ22" i="11"/>
  <c r="AJ23" i="11" s="1"/>
  <c r="AD22" i="11"/>
  <c r="AD23" i="11" s="1"/>
  <c r="G22" i="11"/>
  <c r="AI22" i="11"/>
  <c r="AI23" i="11" s="1"/>
  <c r="AH22" i="11"/>
  <c r="AH23" i="11" s="1"/>
  <c r="AF22" i="11"/>
  <c r="AF23" i="11" s="1"/>
  <c r="E60" i="17"/>
  <c r="AG56" i="11"/>
  <c r="E54" i="17"/>
  <c r="E57" i="17"/>
  <c r="E51" i="17"/>
  <c r="E59" i="17"/>
  <c r="E55" i="17"/>
  <c r="E61" i="17"/>
  <c r="E53" i="17"/>
  <c r="AV61" i="15"/>
  <c r="P85" i="26" s="1"/>
  <c r="E56" i="17"/>
  <c r="E62" i="17"/>
  <c r="U232" i="11"/>
  <c r="AA23" i="11"/>
  <c r="U222" i="7"/>
  <c r="T222" i="7" s="1"/>
  <c r="AG232" i="11"/>
  <c r="AJ77" i="11"/>
  <c r="Z210" i="11"/>
  <c r="Z64" i="11" s="1"/>
  <c r="X210" i="11"/>
  <c r="X64" i="11" s="1"/>
  <c r="V210" i="11"/>
  <c r="V64" i="11" s="1"/>
  <c r="T210" i="11"/>
  <c r="T64" i="11" s="1"/>
  <c r="R210" i="11"/>
  <c r="R64" i="11" s="1"/>
  <c r="M232" i="11"/>
  <c r="K232" i="11"/>
  <c r="I12" i="11"/>
  <c r="J12" i="11" s="1"/>
  <c r="H22" i="11"/>
  <c r="J28" i="11"/>
  <c r="AI210" i="11"/>
  <c r="AI64" i="11" s="1"/>
  <c r="AG210" i="11"/>
  <c r="AG64" i="11" s="1"/>
  <c r="AE210" i="11"/>
  <c r="AE64" i="11" s="1"/>
  <c r="AC210" i="11"/>
  <c r="AC64" i="11" s="1"/>
  <c r="AA210" i="11"/>
  <c r="AA64" i="11" s="1"/>
  <c r="AD232" i="11"/>
  <c r="U226" i="7"/>
  <c r="T226" i="7" s="1"/>
  <c r="Y232" i="11"/>
  <c r="I232" i="11"/>
  <c r="AA46" i="11"/>
  <c r="AA84" i="11" s="1"/>
  <c r="AI46" i="11"/>
  <c r="AI84" i="11" s="1"/>
  <c r="T218" i="11"/>
  <c r="AH52" i="15"/>
  <c r="AA77" i="11"/>
  <c r="Z58" i="15"/>
  <c r="AB77" i="11"/>
  <c r="AC218" i="11"/>
  <c r="P218" i="11"/>
  <c r="L232" i="11"/>
  <c r="H218" i="11"/>
  <c r="Z232" i="11"/>
  <c r="T232" i="11"/>
  <c r="R232" i="11"/>
  <c r="J232" i="11"/>
  <c r="H232" i="11"/>
  <c r="AH232" i="11"/>
  <c r="AE46" i="11"/>
  <c r="AE84" i="11" s="1"/>
  <c r="Z218" i="11"/>
  <c r="W232" i="11"/>
  <c r="AJ210" i="11"/>
  <c r="AJ64" i="11" s="1"/>
  <c r="AH210" i="11"/>
  <c r="AH64" i="11" s="1"/>
  <c r="AF210" i="11"/>
  <c r="AF64" i="11" s="1"/>
  <c r="AD210" i="11"/>
  <c r="AD64" i="11" s="1"/>
  <c r="AB210" i="11"/>
  <c r="AB64" i="11" s="1"/>
  <c r="Q218" i="11"/>
  <c r="AA232" i="11"/>
  <c r="AH46" i="11"/>
  <c r="AH84" i="11" s="1"/>
  <c r="L218" i="11"/>
  <c r="J46" i="11"/>
  <c r="J84" i="11" s="1"/>
  <c r="G10" i="10" s="1"/>
  <c r="AF46" i="11"/>
  <c r="AF84" i="11" s="1"/>
  <c r="AH218" i="11"/>
  <c r="Y210" i="11"/>
  <c r="Y64" i="11" s="1"/>
  <c r="W210" i="11"/>
  <c r="W64" i="11" s="1"/>
  <c r="U210" i="11"/>
  <c r="U64" i="11" s="1"/>
  <c r="S210" i="11"/>
  <c r="S64" i="11" s="1"/>
  <c r="Q210" i="11"/>
  <c r="Q64" i="11" s="1"/>
  <c r="AE218" i="11"/>
  <c r="AD218" i="11"/>
  <c r="AI232" i="11"/>
  <c r="AG46" i="11"/>
  <c r="AG84" i="11" s="1"/>
  <c r="N218" i="11"/>
  <c r="R218" i="11"/>
  <c r="Y218" i="11"/>
  <c r="U218" i="11"/>
  <c r="I218" i="11"/>
  <c r="Q232" i="11"/>
  <c r="O232" i="11"/>
  <c r="AJ56" i="11"/>
  <c r="AG77" i="11"/>
  <c r="AD46" i="11"/>
  <c r="AD84" i="11" s="1"/>
  <c r="AE232" i="11"/>
  <c r="U224" i="7"/>
  <c r="T224" i="7" s="1"/>
  <c r="U221" i="7"/>
  <c r="T221" i="7" s="1"/>
  <c r="U223" i="7"/>
  <c r="T223" i="7" s="1"/>
  <c r="U225" i="7"/>
  <c r="T225" i="7" s="1"/>
  <c r="U227" i="7"/>
  <c r="T227" i="7" s="1"/>
  <c r="AI218" i="11"/>
  <c r="AF232" i="11"/>
  <c r="V218" i="11"/>
  <c r="AF218" i="11"/>
  <c r="AB218" i="11"/>
  <c r="H14" i="11"/>
  <c r="C8" i="10" s="1"/>
  <c r="I6" i="11"/>
  <c r="H16" i="11"/>
  <c r="H75" i="11" s="1"/>
  <c r="AJ46" i="11"/>
  <c r="AJ84" i="11" s="1"/>
  <c r="AC56" i="11"/>
  <c r="AD77" i="11"/>
  <c r="AD56" i="11"/>
  <c r="I10" i="11"/>
  <c r="I9" i="11"/>
  <c r="I11" i="11"/>
  <c r="H20" i="11" s="1"/>
  <c r="K218" i="11"/>
  <c r="AC46" i="11"/>
  <c r="AC84" i="11" s="1"/>
  <c r="AH77" i="11"/>
  <c r="AC77" i="11"/>
  <c r="M218" i="11"/>
  <c r="X218" i="11"/>
  <c r="AA218" i="11"/>
  <c r="W218" i="11"/>
  <c r="S218" i="11"/>
  <c r="O218" i="11"/>
  <c r="J218" i="11"/>
  <c r="G218" i="11"/>
  <c r="AJ218" i="11"/>
  <c r="AG218" i="11"/>
  <c r="AJ232" i="11"/>
  <c r="AB232" i="11"/>
  <c r="X232" i="11"/>
  <c r="V232" i="11"/>
  <c r="S232" i="11"/>
  <c r="P232" i="11"/>
  <c r="N232" i="11"/>
  <c r="AC232" i="11"/>
  <c r="AB46" i="11"/>
  <c r="AB84" i="11" s="1"/>
  <c r="AE77" i="11"/>
  <c r="AI77" i="11"/>
  <c r="AI78" i="11"/>
  <c r="AF77" i="11"/>
  <c r="AB56" i="11"/>
  <c r="S106" i="19"/>
  <c r="E126" i="27"/>
  <c r="E119" i="27"/>
  <c r="C59" i="23"/>
  <c r="C62" i="23"/>
  <c r="S102" i="19"/>
  <c r="C61" i="23"/>
  <c r="C58" i="23"/>
  <c r="C60" i="23"/>
  <c r="C47" i="23"/>
  <c r="C57" i="23"/>
  <c r="C33" i="23"/>
  <c r="C54" i="23"/>
  <c r="C34" i="23"/>
  <c r="S105" i="19" a="1"/>
  <c r="E123" i="27" a="1"/>
  <c r="E114" i="27" a="1"/>
  <c r="E117" i="27" a="1"/>
  <c r="G132" i="7" a="1"/>
  <c r="S101" i="19" a="1"/>
  <c r="G127" i="7" a="1"/>
  <c r="E120" i="27" a="1"/>
  <c r="E124" i="27" a="1"/>
  <c r="E125" i="27" a="1"/>
  <c r="G122" i="7" a="1"/>
  <c r="E121" i="27" a="1"/>
  <c r="S104" i="19" a="1"/>
  <c r="E127" i="27" a="1"/>
  <c r="E115" i="27" a="1"/>
  <c r="E116" i="27" a="1"/>
  <c r="E118" i="27" a="1"/>
  <c r="E122" i="27" a="1"/>
  <c r="D38" i="9" l="1"/>
  <c r="AI182" i="11"/>
  <c r="AH182" i="11"/>
  <c r="AB182" i="11"/>
  <c r="AF182" i="11"/>
  <c r="AC182" i="11"/>
  <c r="AA182" i="11"/>
  <c r="AE182" i="11"/>
  <c r="J114" i="11"/>
  <c r="AH112" i="11"/>
  <c r="P114" i="11"/>
  <c r="AC114" i="11"/>
  <c r="R114" i="11"/>
  <c r="AJ114" i="11"/>
  <c r="W112" i="11"/>
  <c r="M114" i="11"/>
  <c r="AB114" i="11"/>
  <c r="T112" i="11"/>
  <c r="Z114" i="11"/>
  <c r="X112" i="11"/>
  <c r="V112" i="11"/>
  <c r="W114" i="11"/>
  <c r="AH114" i="11"/>
  <c r="I114" i="11"/>
  <c r="L114" i="11"/>
  <c r="AG114" i="11"/>
  <c r="K114" i="11"/>
  <c r="AD114" i="11"/>
  <c r="U114" i="11"/>
  <c r="V114" i="11"/>
  <c r="AD112" i="11"/>
  <c r="Y112" i="11"/>
  <c r="AI114" i="11"/>
  <c r="AA112" i="11"/>
  <c r="AF112" i="11"/>
  <c r="Q114" i="11"/>
  <c r="X114" i="11"/>
  <c r="T114" i="11"/>
  <c r="AI112" i="11"/>
  <c r="S114" i="11"/>
  <c r="AE114" i="11"/>
  <c r="AF114" i="11"/>
  <c r="AJ112" i="11"/>
  <c r="O47" i="21"/>
  <c r="P47" i="21" s="1"/>
  <c r="P49" i="21" s="1"/>
  <c r="L39" i="21"/>
  <c r="L41" i="21" s="1"/>
  <c r="L56" i="21" s="1"/>
  <c r="K47" i="21"/>
  <c r="L47" i="21" s="1"/>
  <c r="L49" i="21" s="1"/>
  <c r="P31" i="21"/>
  <c r="P39" i="21" s="1"/>
  <c r="H114" i="11"/>
  <c r="AG112" i="11"/>
  <c r="O114" i="11"/>
  <c r="AC112" i="11"/>
  <c r="U112" i="11"/>
  <c r="Y114" i="11"/>
  <c r="Z112" i="11"/>
  <c r="Q112" i="11"/>
  <c r="AE112" i="11"/>
  <c r="R39" i="21"/>
  <c r="R41" i="21" s="1"/>
  <c r="T46" i="11"/>
  <c r="T84" i="11" s="1"/>
  <c r="G20" i="10" s="1"/>
  <c r="R46" i="11"/>
  <c r="R84" i="11" s="1"/>
  <c r="G18" i="10" s="1"/>
  <c r="H46" i="11"/>
  <c r="H84" i="11" s="1"/>
  <c r="G8" i="10" s="1"/>
  <c r="M46" i="11"/>
  <c r="M84" i="11" s="1"/>
  <c r="G13" i="10" s="1"/>
  <c r="H54" i="21"/>
  <c r="AJ45" i="11"/>
  <c r="AJ83" i="11" s="1"/>
  <c r="AJ127" i="11"/>
  <c r="W45" i="11"/>
  <c r="W83" i="11" s="1"/>
  <c r="N11" i="15"/>
  <c r="N34" i="15" s="1"/>
  <c r="B21" i="15"/>
  <c r="B27" i="15" s="1"/>
  <c r="B14" i="15"/>
  <c r="V127" i="11"/>
  <c r="S134" i="11"/>
  <c r="Y45" i="11"/>
  <c r="Y83" i="11" s="1"/>
  <c r="AC127" i="11"/>
  <c r="Q134" i="11"/>
  <c r="AF134" i="11"/>
  <c r="Z134" i="11"/>
  <c r="AB127" i="11"/>
  <c r="V41" i="11"/>
  <c r="T127" i="11"/>
  <c r="R134" i="11"/>
  <c r="AE45" i="11"/>
  <c r="AE83" i="11" s="1"/>
  <c r="X134" i="11"/>
  <c r="AE127" i="11"/>
  <c r="X127" i="11"/>
  <c r="T134" i="11"/>
  <c r="V45" i="11"/>
  <c r="V83" i="11" s="1"/>
  <c r="AD127" i="11"/>
  <c r="AC45" i="11"/>
  <c r="AC83" i="11" s="1"/>
  <c r="AD45" i="11"/>
  <c r="AD83" i="11" s="1"/>
  <c r="S127" i="11"/>
  <c r="AB134" i="11"/>
  <c r="AI127" i="11"/>
  <c r="Y127" i="11"/>
  <c r="AI134" i="11"/>
  <c r="Z127" i="11"/>
  <c r="Q127" i="11"/>
  <c r="AF127" i="11"/>
  <c r="R127" i="11"/>
  <c r="AA127" i="11"/>
  <c r="U127" i="11"/>
  <c r="U134" i="11"/>
  <c r="W127" i="11"/>
  <c r="AA134" i="11"/>
  <c r="AH127" i="11"/>
  <c r="AG127" i="11"/>
  <c r="AG45" i="11"/>
  <c r="AG83" i="11" s="1"/>
  <c r="AH134" i="11"/>
  <c r="AH41" i="11"/>
  <c r="G46" i="11"/>
  <c r="G84" i="11" s="1"/>
  <c r="G7" i="10" s="1"/>
  <c r="H173" i="11"/>
  <c r="H174" i="11" s="1"/>
  <c r="D56" i="15"/>
  <c r="G63" i="15" s="1"/>
  <c r="F74" i="26"/>
  <c r="M74" i="26" s="1"/>
  <c r="T74" i="26" s="1"/>
  <c r="N74" i="26"/>
  <c r="D58" i="27"/>
  <c r="P50" i="15"/>
  <c r="Q50" i="15" s="1"/>
  <c r="O74" i="26"/>
  <c r="G75" i="11"/>
  <c r="C10" i="27"/>
  <c r="C14" i="27"/>
  <c r="C12" i="27"/>
  <c r="C24" i="27"/>
  <c r="C11" i="27"/>
  <c r="F75" i="26"/>
  <c r="M75" i="26" s="1"/>
  <c r="T75" i="26" s="1"/>
  <c r="D57" i="15"/>
  <c r="H69" i="26" s="1"/>
  <c r="E74" i="27"/>
  <c r="C19" i="27"/>
  <c r="E62" i="27"/>
  <c r="D64" i="27"/>
  <c r="I84" i="26"/>
  <c r="D71" i="15"/>
  <c r="I87" i="26" s="1"/>
  <c r="H71" i="26"/>
  <c r="V195" i="7"/>
  <c r="D35" i="9" s="1"/>
  <c r="Q49" i="18"/>
  <c r="U200" i="7"/>
  <c r="P55" i="18" s="1"/>
  <c r="Q48" i="18"/>
  <c r="AJ182" i="11"/>
  <c r="AG182" i="11"/>
  <c r="AD182" i="11"/>
  <c r="G127" i="7"/>
  <c r="E121" i="27"/>
  <c r="G132" i="7"/>
  <c r="E123" i="27"/>
  <c r="S104" i="19"/>
  <c r="E115" i="27"/>
  <c r="E122" i="27"/>
  <c r="E117" i="27"/>
  <c r="E127" i="27"/>
  <c r="E114" i="27"/>
  <c r="E120" i="27"/>
  <c r="G122" i="7"/>
  <c r="E125" i="27"/>
  <c r="N14" i="15"/>
  <c r="AF11" i="15"/>
  <c r="D48" i="15"/>
  <c r="D58" i="15"/>
  <c r="D46" i="15"/>
  <c r="D45" i="15"/>
  <c r="D44" i="15"/>
  <c r="E56" i="15"/>
  <c r="D47" i="15"/>
  <c r="F10" i="26"/>
  <c r="E116" i="27"/>
  <c r="K28" i="11"/>
  <c r="L28" i="11" s="1"/>
  <c r="E124" i="27"/>
  <c r="E118" i="27"/>
  <c r="I22" i="11"/>
  <c r="K12" i="11"/>
  <c r="J22" i="11"/>
  <c r="I14" i="11"/>
  <c r="C9" i="10" s="1"/>
  <c r="I16" i="11"/>
  <c r="I75" i="11" s="1"/>
  <c r="J6" i="11"/>
  <c r="J9" i="11"/>
  <c r="J11" i="11"/>
  <c r="I20" i="11" s="1"/>
  <c r="J10" i="11"/>
  <c r="S105" i="19"/>
  <c r="S101" i="19"/>
  <c r="L54" i="21" l="1"/>
  <c r="G112" i="11" s="1"/>
  <c r="G117" i="11" s="1" a="1"/>
  <c r="G117" i="11" s="1"/>
  <c r="G31" i="11" s="1"/>
  <c r="P41" i="21"/>
  <c r="P54" i="21" s="1"/>
  <c r="H112" i="11" s="1"/>
  <c r="H117" i="11" s="1" a="1"/>
  <c r="H117" i="11" s="1"/>
  <c r="H31" i="11" s="1"/>
  <c r="F114" i="11"/>
  <c r="B24" i="15"/>
  <c r="R54" i="21"/>
  <c r="C51" i="15"/>
  <c r="C52" i="15"/>
  <c r="C50" i="15"/>
  <c r="N38" i="15"/>
  <c r="N37" i="15"/>
  <c r="N21" i="15"/>
  <c r="N35" i="15"/>
  <c r="W45" i="15" s="1"/>
  <c r="Z45" i="15" s="1"/>
  <c r="I173" i="11"/>
  <c r="J173" i="11" s="1"/>
  <c r="E57" i="15"/>
  <c r="F51" i="15"/>
  <c r="G51" i="15" s="1"/>
  <c r="F52" i="15"/>
  <c r="G52" i="15" s="1"/>
  <c r="D59" i="15"/>
  <c r="E59" i="15" s="1"/>
  <c r="D57" i="21"/>
  <c r="Z115" i="11" s="1"/>
  <c r="V200" i="7"/>
  <c r="Q55" i="18" s="1"/>
  <c r="Q51" i="18"/>
  <c r="F9" i="26"/>
  <c r="AF21" i="15"/>
  <c r="AF27" i="15" s="1"/>
  <c r="D68" i="27"/>
  <c r="D75" i="27" s="1"/>
  <c r="D76" i="27" s="1"/>
  <c r="G67" i="15"/>
  <c r="N32" i="15"/>
  <c r="N27" i="15"/>
  <c r="N77" i="15"/>
  <c r="X40" i="15" s="1"/>
  <c r="F50" i="15"/>
  <c r="G50" i="15" s="1"/>
  <c r="B25" i="15"/>
  <c r="N19" i="15"/>
  <c r="N24" i="15" s="1"/>
  <c r="L12" i="11"/>
  <c r="K22" i="11"/>
  <c r="M28" i="11"/>
  <c r="J14" i="11"/>
  <c r="C10" i="10" s="1"/>
  <c r="K6" i="11"/>
  <c r="J16" i="11"/>
  <c r="J75" i="11" s="1"/>
  <c r="K9" i="11"/>
  <c r="K10" i="11"/>
  <c r="K11" i="11"/>
  <c r="J20" i="11" s="1"/>
  <c r="I112" i="11" l="1"/>
  <c r="I113" i="11" s="1"/>
  <c r="N112" i="11"/>
  <c r="N113" i="11" s="1"/>
  <c r="J112" i="11"/>
  <c r="J117" i="11" s="1" a="1"/>
  <c r="J117" i="11" s="1"/>
  <c r="J31" i="11" s="1"/>
  <c r="O112" i="11"/>
  <c r="O113" i="11" s="1"/>
  <c r="P112" i="11"/>
  <c r="P113" i="11" s="1"/>
  <c r="K112" i="11"/>
  <c r="K117" i="11" s="1" a="1"/>
  <c r="K117" i="11" s="1"/>
  <c r="K31" i="11" s="1"/>
  <c r="L112" i="11"/>
  <c r="L117" i="11" s="1" a="1"/>
  <c r="L117" i="11" s="1"/>
  <c r="L31" i="11" s="1"/>
  <c r="M112" i="11"/>
  <c r="M113" i="11" s="1"/>
  <c r="N36" i="15"/>
  <c r="D72" i="15"/>
  <c r="I89" i="26" s="1"/>
  <c r="I174" i="11"/>
  <c r="D60" i="15"/>
  <c r="AJ115" i="11"/>
  <c r="AA113" i="11"/>
  <c r="I115" i="11"/>
  <c r="AJ113" i="11"/>
  <c r="Q115" i="11"/>
  <c r="Z113" i="11"/>
  <c r="AC113" i="11"/>
  <c r="G113" i="11"/>
  <c r="M115" i="11"/>
  <c r="N115" i="11"/>
  <c r="AF115" i="11"/>
  <c r="L115" i="11"/>
  <c r="O115" i="11"/>
  <c r="W113" i="11"/>
  <c r="AC115" i="11"/>
  <c r="K115" i="11"/>
  <c r="U113" i="11"/>
  <c r="J115" i="11"/>
  <c r="H115" i="11"/>
  <c r="AA115" i="11"/>
  <c r="P115" i="11"/>
  <c r="S113" i="11"/>
  <c r="AI113" i="11"/>
  <c r="AF113" i="11"/>
  <c r="S115" i="11"/>
  <c r="Y115" i="11"/>
  <c r="AI115" i="11"/>
  <c r="AH113" i="11"/>
  <c r="AE113" i="11"/>
  <c r="R113" i="11"/>
  <c r="AG115" i="11"/>
  <c r="AB113" i="11"/>
  <c r="AD115" i="11"/>
  <c r="X113" i="11"/>
  <c r="AD113" i="11"/>
  <c r="T115" i="11"/>
  <c r="U115" i="11"/>
  <c r="AG113" i="11"/>
  <c r="AH115" i="11"/>
  <c r="Q113" i="11"/>
  <c r="AE115" i="11"/>
  <c r="T113" i="11"/>
  <c r="V115" i="11"/>
  <c r="R115" i="11"/>
  <c r="J113" i="11"/>
  <c r="Y113" i="11"/>
  <c r="G115" i="11"/>
  <c r="V113" i="11"/>
  <c r="X115" i="11"/>
  <c r="AB115" i="11"/>
  <c r="W115" i="11"/>
  <c r="H113" i="11"/>
  <c r="N30" i="15"/>
  <c r="E14" i="27" s="1"/>
  <c r="N25" i="15"/>
  <c r="N33" i="15"/>
  <c r="E12" i="27" s="1"/>
  <c r="E8" i="27"/>
  <c r="N41" i="15"/>
  <c r="N79" i="15"/>
  <c r="N46" i="15"/>
  <c r="W44" i="15"/>
  <c r="Z44" i="15" s="1"/>
  <c r="W47" i="15"/>
  <c r="Z47" i="15" s="1"/>
  <c r="G53" i="15"/>
  <c r="W48" i="15"/>
  <c r="Z48" i="15" s="1"/>
  <c r="M12" i="11"/>
  <c r="L22" i="11"/>
  <c r="K173" i="11"/>
  <c r="J174" i="11"/>
  <c r="K14" i="11"/>
  <c r="C11" i="10" s="1"/>
  <c r="K16" i="11"/>
  <c r="K75" i="11" s="1"/>
  <c r="L6" i="11"/>
  <c r="N28" i="11"/>
  <c r="L9" i="11"/>
  <c r="L10" i="11"/>
  <c r="L11" i="11"/>
  <c r="K20" i="11" s="1"/>
  <c r="L113" i="11" l="1"/>
  <c r="M117" i="11" a="1"/>
  <c r="M117" i="11" s="1"/>
  <c r="M31" i="11" s="1"/>
  <c r="K113" i="11"/>
  <c r="I117" i="11" a="1"/>
  <c r="I117" i="11" s="1"/>
  <c r="I31" i="11" s="1"/>
  <c r="F112" i="11"/>
  <c r="I63" i="15"/>
  <c r="D50" i="15"/>
  <c r="H50" i="15" s="1"/>
  <c r="D65" i="27"/>
  <c r="E60" i="15"/>
  <c r="D51" i="15"/>
  <c r="H51" i="15" s="1"/>
  <c r="D52" i="15"/>
  <c r="H52" i="15" s="1"/>
  <c r="O48" i="15"/>
  <c r="H47" i="27" s="1"/>
  <c r="F115" i="11"/>
  <c r="D45" i="17" s="1"/>
  <c r="O46" i="15"/>
  <c r="H44" i="26" s="1"/>
  <c r="O45" i="15"/>
  <c r="O47" i="15"/>
  <c r="Z56" i="15"/>
  <c r="X47" i="15"/>
  <c r="X48" i="15"/>
  <c r="X39" i="15"/>
  <c r="X44" i="15"/>
  <c r="Z61" i="15"/>
  <c r="E22" i="27"/>
  <c r="E20" i="27" s="1"/>
  <c r="X45" i="15"/>
  <c r="N40" i="15"/>
  <c r="E13" i="27"/>
  <c r="W34" i="15"/>
  <c r="G66" i="15"/>
  <c r="G68" i="15" s="1"/>
  <c r="G64" i="15"/>
  <c r="O44" i="15"/>
  <c r="W46" i="15"/>
  <c r="N12" i="11"/>
  <c r="M22" i="11"/>
  <c r="L173" i="11"/>
  <c r="K174" i="11"/>
  <c r="O28" i="11"/>
  <c r="N117" i="11" a="1"/>
  <c r="N117" i="11" s="1"/>
  <c r="N31" i="11" s="1"/>
  <c r="M6" i="11"/>
  <c r="L14" i="11"/>
  <c r="C12" i="10" s="1"/>
  <c r="L16" i="11"/>
  <c r="L75" i="11" s="1"/>
  <c r="M9" i="11"/>
  <c r="M10" i="11"/>
  <c r="M11" i="11"/>
  <c r="L20" i="11" s="1"/>
  <c r="F113" i="11" l="1"/>
  <c r="D44" i="17" s="1"/>
  <c r="D46" i="17" s="1"/>
  <c r="D48" i="17" s="1"/>
  <c r="D28" i="17"/>
  <c r="Q4" i="19" s="1"/>
  <c r="E34" i="17"/>
  <c r="X46" i="15"/>
  <c r="Y46" i="15" s="1"/>
  <c r="L44" i="26" s="1"/>
  <c r="AF46" i="15"/>
  <c r="F46" i="27" s="1"/>
  <c r="G75" i="26"/>
  <c r="H75" i="26"/>
  <c r="I51" i="15"/>
  <c r="G76" i="26"/>
  <c r="I52" i="15"/>
  <c r="H76" i="26"/>
  <c r="H74" i="26"/>
  <c r="I50" i="15"/>
  <c r="G74" i="26"/>
  <c r="G58" i="7"/>
  <c r="AF23" i="15"/>
  <c r="M7" i="26" s="1"/>
  <c r="V52" i="15"/>
  <c r="O58" i="15"/>
  <c r="N58" i="15" s="1"/>
  <c r="W71" i="26"/>
  <c r="Y63" i="15"/>
  <c r="G69" i="15"/>
  <c r="Y45" i="15"/>
  <c r="L43" i="26" s="1"/>
  <c r="E48" i="27"/>
  <c r="Z46" i="15"/>
  <c r="H48" i="27"/>
  <c r="Y48" i="15"/>
  <c r="H42" i="26"/>
  <c r="D47" i="27"/>
  <c r="Y47" i="15"/>
  <c r="G48" i="27"/>
  <c r="X56" i="15" s="1"/>
  <c r="H45" i="26"/>
  <c r="G47" i="27"/>
  <c r="N57" i="15" s="1"/>
  <c r="O57" i="15" s="1"/>
  <c r="Y44" i="15"/>
  <c r="D48" i="27"/>
  <c r="H43" i="26"/>
  <c r="E47" i="27"/>
  <c r="O12" i="11"/>
  <c r="N22" i="11"/>
  <c r="M173" i="11"/>
  <c r="L174" i="11"/>
  <c r="N10" i="11"/>
  <c r="N11" i="11"/>
  <c r="M20" i="11" s="1"/>
  <c r="N9" i="11"/>
  <c r="P28" i="11"/>
  <c r="O117" i="11" a="1"/>
  <c r="O117" i="11" s="1"/>
  <c r="O31" i="11" s="1"/>
  <c r="M16" i="11"/>
  <c r="M75" i="11" s="1"/>
  <c r="N6" i="11"/>
  <c r="M14" i="11"/>
  <c r="C13" i="10" s="1"/>
  <c r="L45" i="26" l="1"/>
  <c r="V51" i="15"/>
  <c r="L42" i="26"/>
  <c r="AG33" i="15"/>
  <c r="AG34" i="15" s="1"/>
  <c r="AH44" i="15" s="1"/>
  <c r="D34" i="17"/>
  <c r="D33" i="17" s="1"/>
  <c r="E36" i="17"/>
  <c r="G10" i="7"/>
  <c r="G9" i="7" s="1"/>
  <c r="G43" i="7" s="1"/>
  <c r="I53" i="15"/>
  <c r="I66" i="15" s="1"/>
  <c r="G57" i="7"/>
  <c r="AF24" i="15"/>
  <c r="AF25" i="15" s="1"/>
  <c r="AF29" i="15"/>
  <c r="AF13" i="15"/>
  <c r="AF77" i="15"/>
  <c r="AR40" i="15" s="1"/>
  <c r="H59" i="27"/>
  <c r="U76" i="26"/>
  <c r="X52" i="15"/>
  <c r="W79" i="26"/>
  <c r="Y67" i="15"/>
  <c r="X79" i="26" s="1"/>
  <c r="F48" i="27"/>
  <c r="D52" i="27" s="1"/>
  <c r="AT56" i="15" s="1"/>
  <c r="F47" i="27"/>
  <c r="D53" i="27" s="1"/>
  <c r="AT57" i="15"/>
  <c r="X51" i="15"/>
  <c r="G59" i="27"/>
  <c r="U75" i="26"/>
  <c r="P12" i="11"/>
  <c r="O22" i="11"/>
  <c r="N173" i="11"/>
  <c r="M174" i="11"/>
  <c r="O6" i="11"/>
  <c r="N16" i="11"/>
  <c r="N75" i="11" s="1"/>
  <c r="N14" i="11"/>
  <c r="C14" i="10" s="1"/>
  <c r="Q28" i="11"/>
  <c r="P117" i="11" a="1"/>
  <c r="P117" i="11" s="1"/>
  <c r="P31" i="11" s="1"/>
  <c r="O11" i="11"/>
  <c r="N20" i="11" s="1"/>
  <c r="O10" i="11"/>
  <c r="O9" i="11"/>
  <c r="G128" i="7" a="1"/>
  <c r="G121" i="7" a="1"/>
  <c r="V50" i="15" l="1"/>
  <c r="AV62" i="15"/>
  <c r="AV57" i="15"/>
  <c r="AG37" i="15"/>
  <c r="AF37" i="15" s="1"/>
  <c r="AG38" i="15"/>
  <c r="AH48" i="15" s="1"/>
  <c r="AJ48" i="15" s="1"/>
  <c r="AG35" i="15"/>
  <c r="AH45" i="15" s="1"/>
  <c r="AJ45" i="15" s="1"/>
  <c r="AF34" i="15"/>
  <c r="AF33" i="15"/>
  <c r="E19" i="27" s="1"/>
  <c r="AG32" i="15"/>
  <c r="AF32" i="15" s="1"/>
  <c r="D12" i="9"/>
  <c r="G121" i="7"/>
  <c r="C28" i="23" s="1"/>
  <c r="P150" i="7"/>
  <c r="O5" i="11" s="1"/>
  <c r="O17" i="11" s="1"/>
  <c r="O76" i="11" s="1"/>
  <c r="G11" i="7"/>
  <c r="G12" i="7" s="1"/>
  <c r="G13" i="7" s="1"/>
  <c r="X135" i="7"/>
  <c r="D13" i="9" s="1"/>
  <c r="G34" i="7"/>
  <c r="G96" i="7" s="1"/>
  <c r="Q3" i="19"/>
  <c r="H7" i="19" s="1"/>
  <c r="G36" i="7"/>
  <c r="D36" i="17"/>
  <c r="E38" i="17"/>
  <c r="X127" i="7"/>
  <c r="D55" i="9" s="1"/>
  <c r="X55" i="15"/>
  <c r="AF79" i="15"/>
  <c r="P152" i="7" s="1"/>
  <c r="D57" i="9" s="1"/>
  <c r="L38" i="26"/>
  <c r="AF14" i="15"/>
  <c r="I18" i="26" s="1"/>
  <c r="I27" i="26" s="1"/>
  <c r="AF41" i="15"/>
  <c r="AF40" i="15" s="1"/>
  <c r="D51" i="27"/>
  <c r="N56" i="15"/>
  <c r="Q63" i="15" s="1"/>
  <c r="I20" i="26"/>
  <c r="I28" i="26" s="1"/>
  <c r="M6" i="26"/>
  <c r="Y51" i="15"/>
  <c r="V75" i="26"/>
  <c r="Y52" i="15"/>
  <c r="W76" i="26" s="1"/>
  <c r="V76" i="26"/>
  <c r="Q12" i="11"/>
  <c r="P22" i="11"/>
  <c r="N174" i="11"/>
  <c r="O173" i="11"/>
  <c r="O174" i="11" s="1"/>
  <c r="P11" i="11"/>
  <c r="O20" i="11" s="1"/>
  <c r="P10" i="11"/>
  <c r="P9" i="11"/>
  <c r="R28" i="11"/>
  <c r="Q117" i="11" a="1"/>
  <c r="Q117" i="11" s="1"/>
  <c r="Q31" i="11" s="1"/>
  <c r="P6" i="11"/>
  <c r="O14" i="11"/>
  <c r="C15" i="10" s="1"/>
  <c r="O16" i="11"/>
  <c r="O75" i="11" s="1"/>
  <c r="G128" i="7"/>
  <c r="AJ44" i="15"/>
  <c r="X141" i="7"/>
  <c r="P167" i="7" s="1"/>
  <c r="Z179" i="11" s="1"/>
  <c r="Z46" i="11" s="1"/>
  <c r="Z84" i="11" s="1"/>
  <c r="G126" i="7" a="1"/>
  <c r="G124" i="7" a="1"/>
  <c r="X50" i="15" l="1"/>
  <c r="Y50" i="15" s="1"/>
  <c r="W74" i="26" s="1"/>
  <c r="U74" i="26"/>
  <c r="AR50" i="15"/>
  <c r="AS50" i="15" s="1"/>
  <c r="AT50" i="15" s="1"/>
  <c r="V74" i="26"/>
  <c r="D59" i="27"/>
  <c r="AH47" i="15"/>
  <c r="AJ47" i="15" s="1"/>
  <c r="AR47" i="15" s="1"/>
  <c r="AS47" i="15" s="1"/>
  <c r="AR44" i="15"/>
  <c r="AS44" i="15" s="1"/>
  <c r="X5" i="11"/>
  <c r="AF35" i="15"/>
  <c r="AR45" i="15" s="1"/>
  <c r="AS45" i="15" s="1"/>
  <c r="AF38" i="15"/>
  <c r="AR48" i="15" s="1"/>
  <c r="AS48" i="15" s="1"/>
  <c r="AG36" i="15"/>
  <c r="AF36" i="15" s="1"/>
  <c r="AH46" i="15"/>
  <c r="AJ46" i="15" s="1"/>
  <c r="AI46" i="15" s="1"/>
  <c r="L5" i="11"/>
  <c r="L17" i="11" s="1"/>
  <c r="L76" i="11" s="1"/>
  <c r="Z5" i="11"/>
  <c r="I5" i="11"/>
  <c r="I17" i="11" s="1"/>
  <c r="I76" i="11" s="1"/>
  <c r="H4" i="19"/>
  <c r="K5" i="11"/>
  <c r="K17" i="11" s="1"/>
  <c r="K76" i="11" s="1"/>
  <c r="U5" i="11"/>
  <c r="G5" i="11"/>
  <c r="G17" i="11" s="1"/>
  <c r="G76" i="11" s="1"/>
  <c r="T5" i="11"/>
  <c r="M5" i="11"/>
  <c r="M17" i="11" s="1"/>
  <c r="M76" i="11" s="1"/>
  <c r="J5" i="11"/>
  <c r="J17" i="11" s="1"/>
  <c r="J76" i="11" s="1"/>
  <c r="H5" i="11"/>
  <c r="H17" i="11" s="1"/>
  <c r="H76" i="11" s="1"/>
  <c r="S5" i="11"/>
  <c r="P5" i="11"/>
  <c r="P17" i="11" s="1"/>
  <c r="P76" i="11" s="1"/>
  <c r="G15" i="7"/>
  <c r="G17" i="7" s="1"/>
  <c r="G21" i="7" s="1"/>
  <c r="L15" i="11" s="1"/>
  <c r="H6" i="19"/>
  <c r="D26" i="9"/>
  <c r="Y5" i="11"/>
  <c r="N5" i="11"/>
  <c r="N17" i="11" s="1"/>
  <c r="N76" i="11" s="1"/>
  <c r="V5" i="11"/>
  <c r="R5" i="11"/>
  <c r="W5" i="11"/>
  <c r="Q5" i="11"/>
  <c r="G126" i="7"/>
  <c r="G124" i="7"/>
  <c r="G98" i="7"/>
  <c r="X137" i="7"/>
  <c r="X139" i="7"/>
  <c r="H5" i="19"/>
  <c r="N19" i="11"/>
  <c r="N78" i="11" s="1"/>
  <c r="O19" i="11"/>
  <c r="O78" i="11" s="1"/>
  <c r="I19" i="11"/>
  <c r="I78" i="11" s="1"/>
  <c r="K19" i="11"/>
  <c r="K78" i="11" s="1"/>
  <c r="H19" i="11"/>
  <c r="H78" i="11" s="1"/>
  <c r="M19" i="11"/>
  <c r="M78" i="11" s="1"/>
  <c r="D28" i="9"/>
  <c r="G19" i="11"/>
  <c r="G78" i="11" s="1"/>
  <c r="L19" i="11"/>
  <c r="L78" i="11" s="1"/>
  <c r="J19" i="11"/>
  <c r="J78" i="11" s="1"/>
  <c r="H38" i="26"/>
  <c r="AF19" i="15"/>
  <c r="AF30" i="15" s="1"/>
  <c r="G8" i="7" s="1"/>
  <c r="AI45" i="15"/>
  <c r="AI48" i="15"/>
  <c r="L40" i="26"/>
  <c r="H40" i="26" s="1"/>
  <c r="O56" i="15"/>
  <c r="N52" i="15" s="1"/>
  <c r="P52" i="15" s="1"/>
  <c r="Z55" i="15"/>
  <c r="Z57" i="15" s="1"/>
  <c r="N59" i="15"/>
  <c r="O59" i="15" s="1"/>
  <c r="P79" i="26"/>
  <c r="P80" i="26" s="1"/>
  <c r="W75" i="26"/>
  <c r="Q22" i="11"/>
  <c r="R12" i="11"/>
  <c r="S28" i="11"/>
  <c r="R117" i="11" a="1"/>
  <c r="R117" i="11" s="1"/>
  <c r="R31" i="11" s="1"/>
  <c r="Q11" i="11"/>
  <c r="P20" i="11" s="1"/>
  <c r="Q10" i="11"/>
  <c r="Q9" i="11"/>
  <c r="P14" i="11"/>
  <c r="C16" i="10" s="1"/>
  <c r="Q6" i="11"/>
  <c r="P16" i="11"/>
  <c r="P75" i="11" s="1"/>
  <c r="P19" i="11"/>
  <c r="P78" i="11" s="1"/>
  <c r="AI44" i="15"/>
  <c r="AJ56" i="15"/>
  <c r="E64" i="27" s="1"/>
  <c r="Y53" i="15" l="1"/>
  <c r="W77" i="26" s="1"/>
  <c r="W80" i="26" s="1"/>
  <c r="AJ57" i="15"/>
  <c r="AK57" i="15" s="1"/>
  <c r="AI47" i="15"/>
  <c r="AV47" i="15"/>
  <c r="I32" i="26" s="1"/>
  <c r="AV45" i="15"/>
  <c r="I31" i="26" s="1"/>
  <c r="AV44" i="15"/>
  <c r="I30" i="26" s="1"/>
  <c r="W4" i="11"/>
  <c r="AR46" i="15"/>
  <c r="AS46" i="15" s="1"/>
  <c r="N4" i="11"/>
  <c r="N222" i="11" s="1"/>
  <c r="N224" i="11" s="1"/>
  <c r="N65" i="11" s="1"/>
  <c r="Q4" i="11"/>
  <c r="Q222" i="11" s="1"/>
  <c r="Q224" i="11" s="1"/>
  <c r="Q65" i="11" s="1"/>
  <c r="K15" i="11"/>
  <c r="K74" i="11" s="1"/>
  <c r="AV48" i="15"/>
  <c r="H15" i="11"/>
  <c r="H74" i="11" s="1"/>
  <c r="Y4" i="11"/>
  <c r="N15" i="11"/>
  <c r="N74" i="11" s="1"/>
  <c r="G15" i="11"/>
  <c r="G74" i="11" s="1"/>
  <c r="V4" i="11"/>
  <c r="O4" i="11"/>
  <c r="O222" i="11" s="1"/>
  <c r="O224" i="11" s="1"/>
  <c r="O65" i="11" s="1"/>
  <c r="X4" i="11"/>
  <c r="P4" i="11"/>
  <c r="P222" i="11" s="1"/>
  <c r="P224" i="11" s="1"/>
  <c r="P65" i="11" s="1"/>
  <c r="I4" i="11"/>
  <c r="I222" i="11" s="1"/>
  <c r="I224" i="11" s="1"/>
  <c r="I65" i="11" s="1"/>
  <c r="J4" i="11"/>
  <c r="J222" i="11" s="1"/>
  <c r="J224" i="11" s="1"/>
  <c r="J65" i="11" s="1"/>
  <c r="J15" i="11"/>
  <c r="J74" i="11" s="1"/>
  <c r="G22" i="7"/>
  <c r="S4" i="11"/>
  <c r="K4" i="11"/>
  <c r="K222" i="11" s="1"/>
  <c r="K224" i="11" s="1"/>
  <c r="K65" i="11" s="1"/>
  <c r="R4" i="11"/>
  <c r="R222" i="11" s="1"/>
  <c r="R224" i="11" s="1"/>
  <c r="R65" i="11" s="1"/>
  <c r="U4" i="11"/>
  <c r="G4" i="11"/>
  <c r="G222" i="11" s="1"/>
  <c r="G224" i="11" s="1"/>
  <c r="G65" i="11" s="1"/>
  <c r="H4" i="11"/>
  <c r="H222" i="11" s="1"/>
  <c r="H224" i="11" s="1"/>
  <c r="H65" i="11" s="1"/>
  <c r="T4" i="11"/>
  <c r="O15" i="11"/>
  <c r="O74" i="11" s="1"/>
  <c r="M15" i="11"/>
  <c r="M74" i="11" s="1"/>
  <c r="I15" i="11"/>
  <c r="I74" i="11" s="1"/>
  <c r="D17" i="9"/>
  <c r="L4" i="11"/>
  <c r="L222" i="11" s="1"/>
  <c r="L224" i="11" s="1"/>
  <c r="L65" i="11" s="1"/>
  <c r="Z4" i="11"/>
  <c r="M4" i="11"/>
  <c r="M222" i="11" s="1"/>
  <c r="M224" i="11" s="1"/>
  <c r="M65" i="11" s="1"/>
  <c r="AV63" i="15"/>
  <c r="AR67" i="15" s="1"/>
  <c r="AT62" i="15"/>
  <c r="G35" i="7"/>
  <c r="X138" i="7" s="1"/>
  <c r="H39" i="26"/>
  <c r="E23" i="27" s="1"/>
  <c r="N39" i="15" s="1"/>
  <c r="I19" i="26"/>
  <c r="N51" i="15"/>
  <c r="N75" i="26" s="1"/>
  <c r="N76" i="26"/>
  <c r="H58" i="27"/>
  <c r="Q67" i="15"/>
  <c r="Z71" i="15"/>
  <c r="N60" i="15"/>
  <c r="N61" i="15" s="1"/>
  <c r="O61" i="15" s="1"/>
  <c r="AR52" i="15"/>
  <c r="AS52" i="15" s="1"/>
  <c r="AT52" i="15" s="1"/>
  <c r="AR51" i="15"/>
  <c r="AS51" i="15" s="1"/>
  <c r="AT51" i="15" s="1"/>
  <c r="E73" i="27"/>
  <c r="H50" i="26" s="1"/>
  <c r="B41" i="26"/>
  <c r="AK58" i="15"/>
  <c r="AJ58" i="15" s="1"/>
  <c r="Y66" i="15"/>
  <c r="O76" i="26"/>
  <c r="Q52" i="15"/>
  <c r="R22" i="11"/>
  <c r="S12" i="11"/>
  <c r="S222" i="11" s="1"/>
  <c r="S224" i="11" s="1"/>
  <c r="S65" i="11" s="1"/>
  <c r="P15" i="11"/>
  <c r="P74" i="11" s="1"/>
  <c r="R6" i="11"/>
  <c r="Q14" i="11"/>
  <c r="Q16" i="11"/>
  <c r="Q75" i="11" s="1"/>
  <c r="Q19" i="11"/>
  <c r="Q78" i="11" s="1"/>
  <c r="R9" i="11"/>
  <c r="R11" i="11"/>
  <c r="Q20" i="11" s="1"/>
  <c r="R10" i="11"/>
  <c r="T28" i="11"/>
  <c r="S117" i="11" a="1"/>
  <c r="S117" i="11" s="1"/>
  <c r="S31" i="11" s="1"/>
  <c r="Q17" i="11"/>
  <c r="Q76" i="11" s="1"/>
  <c r="L74" i="11"/>
  <c r="F64" i="27"/>
  <c r="AK56" i="15"/>
  <c r="E68" i="27" s="1"/>
  <c r="AL63" i="15"/>
  <c r="AV56" i="15"/>
  <c r="G125" i="7" a="1"/>
  <c r="Y64" i="15" l="1"/>
  <c r="Q79" i="26"/>
  <c r="Z79" i="26" s="1"/>
  <c r="G97" i="7"/>
  <c r="AJ59" i="15"/>
  <c r="AK59" i="15" s="1"/>
  <c r="N21" i="11"/>
  <c r="AV46" i="15"/>
  <c r="N23" i="11"/>
  <c r="P23" i="11"/>
  <c r="L21" i="11"/>
  <c r="P21" i="11"/>
  <c r="O23" i="11"/>
  <c r="O21" i="11"/>
  <c r="J23" i="11"/>
  <c r="J21" i="11"/>
  <c r="Q21" i="11"/>
  <c r="Q23" i="11"/>
  <c r="H21" i="11"/>
  <c r="M21" i="11"/>
  <c r="I23" i="11"/>
  <c r="M23" i="11"/>
  <c r="H23" i="11"/>
  <c r="K21" i="11"/>
  <c r="K23" i="11"/>
  <c r="G21" i="11"/>
  <c r="G23" i="11"/>
  <c r="I21" i="11"/>
  <c r="R23" i="11"/>
  <c r="L23" i="11"/>
  <c r="G125" i="7"/>
  <c r="G58" i="27"/>
  <c r="P51" i="15"/>
  <c r="O75" i="26" s="1"/>
  <c r="O52" i="15"/>
  <c r="R52" i="15" s="1"/>
  <c r="S52" i="15" s="1"/>
  <c r="P76" i="26" s="1"/>
  <c r="S63" i="15"/>
  <c r="O60" i="15"/>
  <c r="O50" i="15"/>
  <c r="R50" i="15" s="1"/>
  <c r="S50" i="15" s="1"/>
  <c r="O51" i="15"/>
  <c r="R51" i="15" s="1"/>
  <c r="S51" i="15" s="1"/>
  <c r="P75" i="26" s="1"/>
  <c r="AT53" i="15"/>
  <c r="AR66" i="15" s="1"/>
  <c r="Y68" i="15"/>
  <c r="Y69" i="15" s="1"/>
  <c r="X77" i="26"/>
  <c r="X80" i="26" s="1"/>
  <c r="T12" i="11"/>
  <c r="T222" i="11" s="1"/>
  <c r="T224" i="11" s="1"/>
  <c r="T65" i="11" s="1"/>
  <c r="S22" i="11"/>
  <c r="S23" i="11" s="1"/>
  <c r="S9" i="11"/>
  <c r="S11" i="11"/>
  <c r="R20" i="11" s="1"/>
  <c r="R21" i="11" s="1"/>
  <c r="S10" i="11"/>
  <c r="R14" i="11"/>
  <c r="S6" i="11"/>
  <c r="R16" i="11"/>
  <c r="R75" i="11" s="1"/>
  <c r="R19" i="11"/>
  <c r="R78" i="11" s="1"/>
  <c r="R17" i="11"/>
  <c r="R76" i="11" s="1"/>
  <c r="AI52" i="15"/>
  <c r="AK52" i="15" s="1"/>
  <c r="AL52" i="15" s="1"/>
  <c r="U28" i="11"/>
  <c r="T117" i="11" a="1"/>
  <c r="T117" i="11" s="1"/>
  <c r="T31" i="11" s="1"/>
  <c r="C17" i="10"/>
  <c r="Q15" i="11"/>
  <c r="Q74" i="11" s="1"/>
  <c r="AV58" i="15"/>
  <c r="AV70" i="15"/>
  <c r="P87" i="26" s="1"/>
  <c r="P84" i="26"/>
  <c r="P71" i="26"/>
  <c r="AL67" i="15"/>
  <c r="E75" i="27"/>
  <c r="F68" i="27"/>
  <c r="AI51" i="15"/>
  <c r="AK51" i="15" s="1"/>
  <c r="AL51" i="15" s="1"/>
  <c r="F96" i="7" l="1"/>
  <c r="G48" i="7"/>
  <c r="AV64" i="15"/>
  <c r="F99" i="7"/>
  <c r="F97" i="7"/>
  <c r="F98" i="7"/>
  <c r="AJ60" i="15"/>
  <c r="AO63" i="15" s="1"/>
  <c r="N79" i="11"/>
  <c r="H79" i="11"/>
  <c r="O79" i="11"/>
  <c r="K79" i="11"/>
  <c r="P79" i="11"/>
  <c r="L79" i="11"/>
  <c r="Q79" i="11"/>
  <c r="J79" i="11"/>
  <c r="M79" i="11"/>
  <c r="G79" i="11"/>
  <c r="I79" i="11"/>
  <c r="R79" i="11"/>
  <c r="Q51" i="15"/>
  <c r="Q53" i="15" s="1"/>
  <c r="Q66" i="15" s="1"/>
  <c r="P74" i="26"/>
  <c r="S53" i="15"/>
  <c r="S66" i="15" s="1"/>
  <c r="AR68" i="15"/>
  <c r="AR69" i="15" s="1"/>
  <c r="T22" i="11"/>
  <c r="T23" i="11" s="1"/>
  <c r="U12" i="11"/>
  <c r="U222" i="11" s="1"/>
  <c r="U224" i="11" s="1"/>
  <c r="U65" i="11" s="1"/>
  <c r="C18" i="10"/>
  <c r="R15" i="11"/>
  <c r="R74" i="11" s="1"/>
  <c r="T6" i="11"/>
  <c r="S16" i="11"/>
  <c r="S75" i="11" s="1"/>
  <c r="S14" i="11"/>
  <c r="S19" i="11"/>
  <c r="S78" i="11" s="1"/>
  <c r="S17" i="11"/>
  <c r="S76" i="11" s="1"/>
  <c r="T9" i="11"/>
  <c r="T11" i="11"/>
  <c r="S20" i="11" s="1"/>
  <c r="S21" i="11" s="1"/>
  <c r="S79" i="11" s="1"/>
  <c r="T10" i="11"/>
  <c r="AL53" i="15"/>
  <c r="AL64" i="15" s="1"/>
  <c r="V28" i="11"/>
  <c r="U117" i="11" a="1"/>
  <c r="U117" i="11" s="1"/>
  <c r="U31" i="11" s="1"/>
  <c r="E76" i="27"/>
  <c r="F75" i="27"/>
  <c r="AN63" i="15" l="1"/>
  <c r="AJ52" i="15"/>
  <c r="AM52" i="15" s="1"/>
  <c r="AN52" i="15" s="1"/>
  <c r="AK60" i="15"/>
  <c r="E69" i="27" s="1"/>
  <c r="E77" i="27" s="1"/>
  <c r="E78" i="27" s="1"/>
  <c r="AJ50" i="15"/>
  <c r="AM50" i="15" s="1"/>
  <c r="AN50" i="15" s="1"/>
  <c r="AJ51" i="15"/>
  <c r="AM51" i="15" s="1"/>
  <c r="AN51" i="15" s="1"/>
  <c r="E65" i="27"/>
  <c r="F65" i="27" s="1"/>
  <c r="Q64" i="15"/>
  <c r="Q77" i="26"/>
  <c r="Q80" i="26" s="1"/>
  <c r="Z80" i="26" s="1"/>
  <c r="Q68" i="15"/>
  <c r="AL66" i="15"/>
  <c r="AL68" i="15" s="1"/>
  <c r="V12" i="11"/>
  <c r="V222" i="11" s="1"/>
  <c r="V224" i="11" s="1"/>
  <c r="V65" i="11" s="1"/>
  <c r="U22" i="11"/>
  <c r="U23" i="11" s="1"/>
  <c r="U6" i="11"/>
  <c r="T14" i="11"/>
  <c r="T16" i="11"/>
  <c r="T75" i="11" s="1"/>
  <c r="T19" i="11"/>
  <c r="T78" i="11" s="1"/>
  <c r="T17" i="11"/>
  <c r="T76" i="11" s="1"/>
  <c r="U9" i="11"/>
  <c r="U11" i="11"/>
  <c r="T20" i="11" s="1"/>
  <c r="T21" i="11" s="1"/>
  <c r="T79" i="11" s="1"/>
  <c r="U10" i="11"/>
  <c r="W28" i="11"/>
  <c r="V117" i="11" a="1"/>
  <c r="V117" i="11" s="1"/>
  <c r="V31" i="11" s="1"/>
  <c r="C19" i="10"/>
  <c r="S15" i="11"/>
  <c r="S74" i="11" s="1"/>
  <c r="AN53" i="15" l="1"/>
  <c r="AN66" i="15" s="1"/>
  <c r="AN67" i="15"/>
  <c r="Z77" i="26"/>
  <c r="Q69" i="15"/>
  <c r="AL69" i="15"/>
  <c r="W12" i="11"/>
  <c r="W222" i="11" s="1"/>
  <c r="W224" i="11" s="1"/>
  <c r="W65" i="11" s="1"/>
  <c r="V22" i="11"/>
  <c r="V23" i="11" s="1"/>
  <c r="X28" i="11"/>
  <c r="W117" i="11" a="1"/>
  <c r="W117" i="11" s="1"/>
  <c r="W31" i="11" s="1"/>
  <c r="V9" i="11"/>
  <c r="V11" i="11"/>
  <c r="U20" i="11" s="1"/>
  <c r="U21" i="11" s="1"/>
  <c r="U79" i="11" s="1"/>
  <c r="V10" i="11"/>
  <c r="C20" i="10"/>
  <c r="T15" i="11"/>
  <c r="T74" i="11" s="1"/>
  <c r="V6" i="11"/>
  <c r="U16" i="11"/>
  <c r="U75" i="11" s="1"/>
  <c r="U14" i="11"/>
  <c r="U19" i="11"/>
  <c r="U78" i="11" s="1"/>
  <c r="U17" i="11"/>
  <c r="U76" i="11" s="1"/>
  <c r="AN64" i="15" l="1"/>
  <c r="X12" i="11"/>
  <c r="X222" i="11" s="1"/>
  <c r="X224" i="11" s="1"/>
  <c r="X65" i="11" s="1"/>
  <c r="W22" i="11"/>
  <c r="W23" i="11" s="1"/>
  <c r="W9" i="11"/>
  <c r="W10" i="11"/>
  <c r="W11" i="11"/>
  <c r="V20" i="11" s="1"/>
  <c r="V21" i="11" s="1"/>
  <c r="V79" i="11" s="1"/>
  <c r="C21" i="10"/>
  <c r="U15" i="11"/>
  <c r="U74" i="11" s="1"/>
  <c r="V14" i="11"/>
  <c r="V16" i="11"/>
  <c r="V75" i="11" s="1"/>
  <c r="W6" i="11"/>
  <c r="V19" i="11"/>
  <c r="V78" i="11" s="1"/>
  <c r="V17" i="11"/>
  <c r="V76" i="11" s="1"/>
  <c r="Y28" i="11"/>
  <c r="X117" i="11" a="1"/>
  <c r="X117" i="11" s="1"/>
  <c r="X31" i="11" s="1"/>
  <c r="Y12" i="11" l="1"/>
  <c r="Y222" i="11" s="1"/>
  <c r="Y224" i="11" s="1"/>
  <c r="Y65" i="11" s="1"/>
  <c r="X22" i="11"/>
  <c r="X23" i="11" s="1"/>
  <c r="Z28" i="11"/>
  <c r="Y117" i="11" a="1"/>
  <c r="Y117" i="11" s="1"/>
  <c r="Y31" i="11" s="1"/>
  <c r="W14" i="11"/>
  <c r="W16" i="11"/>
  <c r="W75" i="11" s="1"/>
  <c r="X6" i="11"/>
  <c r="W19" i="11"/>
  <c r="W78" i="11" s="1"/>
  <c r="W17" i="11"/>
  <c r="W76" i="11" s="1"/>
  <c r="X9" i="11"/>
  <c r="X11" i="11"/>
  <c r="W20" i="11" s="1"/>
  <c r="W21" i="11" s="1"/>
  <c r="W79" i="11" s="1"/>
  <c r="X10" i="11"/>
  <c r="C22" i="10"/>
  <c r="V15" i="11"/>
  <c r="V74" i="11" s="1"/>
  <c r="Z12" i="11" l="1"/>
  <c r="Z222" i="11" s="1"/>
  <c r="Z224" i="11" s="1"/>
  <c r="Z65" i="11" s="1"/>
  <c r="Y22" i="11"/>
  <c r="Y23" i="11" s="1"/>
  <c r="C23" i="10"/>
  <c r="W15" i="11"/>
  <c r="W74" i="11" s="1"/>
  <c r="Y6" i="11"/>
  <c r="X14" i="11"/>
  <c r="X16" i="11"/>
  <c r="X75" i="11" s="1"/>
  <c r="X19" i="11"/>
  <c r="X78" i="11" s="1"/>
  <c r="X17" i="11"/>
  <c r="X76" i="11" s="1"/>
  <c r="Y9" i="11"/>
  <c r="Y11" i="11"/>
  <c r="X20" i="11" s="1"/>
  <c r="X21" i="11" s="1"/>
  <c r="X79" i="11" s="1"/>
  <c r="Y10" i="11"/>
  <c r="AA28" i="11"/>
  <c r="Z117" i="11" a="1"/>
  <c r="Z117" i="11" s="1"/>
  <c r="Z31" i="11" s="1"/>
  <c r="U63" i="15" l="1"/>
  <c r="U67" i="15" s="1"/>
  <c r="AA67" i="15" s="1"/>
  <c r="T50" i="15"/>
  <c r="U50" i="15" s="1"/>
  <c r="T51" i="15"/>
  <c r="U51" i="15" s="1"/>
  <c r="T52" i="15"/>
  <c r="U52" i="15" s="1"/>
  <c r="AA12" i="11"/>
  <c r="AB12" i="11" s="1"/>
  <c r="AC12" i="11" s="1"/>
  <c r="AD12" i="11" s="1"/>
  <c r="AE12" i="11" s="1"/>
  <c r="AF12" i="11" s="1"/>
  <c r="AG12" i="11" s="1"/>
  <c r="AH12" i="11" s="1"/>
  <c r="AI12" i="11" s="1"/>
  <c r="AJ12" i="11" s="1"/>
  <c r="Z22" i="11"/>
  <c r="Z23" i="11" s="1"/>
  <c r="AB28" i="11"/>
  <c r="AA117" i="11" a="1"/>
  <c r="AA117" i="11" s="1"/>
  <c r="AA31" i="11" s="1"/>
  <c r="C24" i="10"/>
  <c r="X15" i="11"/>
  <c r="X74" i="11" s="1"/>
  <c r="Y14" i="11"/>
  <c r="Z6" i="11"/>
  <c r="Y16" i="11"/>
  <c r="Y75" i="11" s="1"/>
  <c r="Y19" i="11"/>
  <c r="Y78" i="11" s="1"/>
  <c r="Y17" i="11"/>
  <c r="Y76" i="11" s="1"/>
  <c r="Z9" i="11"/>
  <c r="Z11" i="11"/>
  <c r="Y20" i="11" s="1"/>
  <c r="Y21" i="11" s="1"/>
  <c r="Y79" i="11" s="1"/>
  <c r="Z10" i="11"/>
  <c r="U53" i="15" l="1"/>
  <c r="AA9" i="11"/>
  <c r="AA11" i="11"/>
  <c r="Z20" i="11" s="1"/>
  <c r="Z21" i="11" s="1"/>
  <c r="Z79" i="11" s="1"/>
  <c r="AA10" i="11"/>
  <c r="AA33" i="11"/>
  <c r="AA34" i="11" s="1"/>
  <c r="AA81" i="11"/>
  <c r="AC28" i="11"/>
  <c r="AB117" i="11" a="1"/>
  <c r="AB117" i="11" s="1"/>
  <c r="AB31" i="11" s="1"/>
  <c r="Z14" i="11"/>
  <c r="Z16" i="11"/>
  <c r="Z75" i="11" s="1"/>
  <c r="C91" i="11" s="1"/>
  <c r="AA6" i="11"/>
  <c r="Z19" i="11"/>
  <c r="Z78" i="11" s="1"/>
  <c r="C94" i="11" s="1"/>
  <c r="Z17" i="11"/>
  <c r="Z76" i="11" s="1"/>
  <c r="C25" i="10"/>
  <c r="Y15" i="11"/>
  <c r="Y74" i="11" s="1"/>
  <c r="U66" i="15" l="1"/>
  <c r="U64" i="15"/>
  <c r="AD28" i="11"/>
  <c r="AC117" i="11" a="1"/>
  <c r="AC117" i="11" s="1"/>
  <c r="AC31" i="11" s="1"/>
  <c r="F32" i="19"/>
  <c r="E94" i="11"/>
  <c r="AA14" i="11"/>
  <c r="AB6" i="11"/>
  <c r="AA17" i="11"/>
  <c r="E91" i="11"/>
  <c r="E29" i="19" s="1"/>
  <c r="F29" i="19"/>
  <c r="AB10" i="11"/>
  <c r="AB11" i="11"/>
  <c r="AA20" i="11" s="1"/>
  <c r="AA21" i="11" s="1"/>
  <c r="AA79" i="11" s="1"/>
  <c r="AB9" i="11"/>
  <c r="AB33" i="11"/>
  <c r="AB34" i="11" s="1"/>
  <c r="AB81" i="11"/>
  <c r="C26" i="10"/>
  <c r="Z15" i="11"/>
  <c r="AA66" i="15" l="1"/>
  <c r="U68" i="15"/>
  <c r="AA68" i="15" s="1"/>
  <c r="AA76" i="11"/>
  <c r="AA25" i="11"/>
  <c r="AA37" i="11" s="1"/>
  <c r="AC6" i="11"/>
  <c r="AB14" i="11"/>
  <c r="AB17" i="11"/>
  <c r="AC9" i="11"/>
  <c r="AC11" i="11"/>
  <c r="AB20" i="11" s="1"/>
  <c r="AB21" i="11" s="1"/>
  <c r="AB79" i="11" s="1"/>
  <c r="AC10" i="11"/>
  <c r="X129" i="7"/>
  <c r="E32" i="19"/>
  <c r="Z74" i="11"/>
  <c r="C90" i="11" s="1"/>
  <c r="AC33" i="11"/>
  <c r="AC34" i="11" s="1"/>
  <c r="AC81" i="11"/>
  <c r="AE28" i="11"/>
  <c r="AD117" i="11" a="1"/>
  <c r="AD117" i="11" s="1"/>
  <c r="AD31" i="11" s="1"/>
  <c r="C39" i="17" l="1"/>
  <c r="AD9" i="11"/>
  <c r="AD10" i="11"/>
  <c r="AD11" i="11"/>
  <c r="AC20" i="11" s="1"/>
  <c r="AC21" i="11" s="1"/>
  <c r="AC79" i="11" s="1"/>
  <c r="AB76" i="11"/>
  <c r="AB25" i="11"/>
  <c r="AB37" i="11" s="1"/>
  <c r="E90" i="11"/>
  <c r="F28" i="19"/>
  <c r="AD6" i="11"/>
  <c r="AC14" i="11"/>
  <c r="AC17" i="11"/>
  <c r="AD81" i="11"/>
  <c r="AD33" i="11"/>
  <c r="AD34" i="11" s="1"/>
  <c r="AE117" i="11" a="1"/>
  <c r="AE117" i="11" s="1"/>
  <c r="AE31" i="11" s="1"/>
  <c r="AF28" i="11"/>
  <c r="AE81" i="11" l="1"/>
  <c r="AE33" i="11"/>
  <c r="AE34" i="11" s="1"/>
  <c r="AC76" i="11"/>
  <c r="AC25" i="11"/>
  <c r="AC37" i="11" s="1"/>
  <c r="AE6" i="11"/>
  <c r="AD14" i="11"/>
  <c r="AD17" i="11"/>
  <c r="AF117" i="11" a="1"/>
  <c r="AF117" i="11" s="1"/>
  <c r="AF31" i="11" s="1"/>
  <c r="AG28" i="11"/>
  <c r="E28" i="19"/>
  <c r="X125" i="7"/>
  <c r="D53" i="9" s="1"/>
  <c r="AE9" i="11"/>
  <c r="AE11" i="11"/>
  <c r="AD20" i="11" s="1"/>
  <c r="AD21" i="11" s="1"/>
  <c r="AD79" i="11" s="1"/>
  <c r="AE10" i="11"/>
  <c r="AF11" i="11" l="1"/>
  <c r="AE20" i="11" s="1"/>
  <c r="AE21" i="11" s="1"/>
  <c r="AE79" i="11" s="1"/>
  <c r="AF10" i="11"/>
  <c r="AF9" i="11"/>
  <c r="AE14" i="11"/>
  <c r="AF6" i="11"/>
  <c r="AE17" i="11"/>
  <c r="AD76" i="11"/>
  <c r="AD25" i="11"/>
  <c r="AD37" i="11" s="1"/>
  <c r="AG117" i="11" a="1"/>
  <c r="AG117" i="11" s="1"/>
  <c r="AG31" i="11" s="1"/>
  <c r="AH28" i="11"/>
  <c r="AF81" i="11"/>
  <c r="AF33" i="11"/>
  <c r="AF34" i="11" s="1"/>
  <c r="AE76" i="11" l="1"/>
  <c r="AE25" i="11"/>
  <c r="AE37" i="11" s="1"/>
  <c r="AF14" i="11"/>
  <c r="AG6" i="11"/>
  <c r="AF17" i="11"/>
  <c r="AF76" i="11" s="1"/>
  <c r="AG9" i="11"/>
  <c r="AG10" i="11"/>
  <c r="AG11" i="11"/>
  <c r="AF20" i="11" s="1"/>
  <c r="AF21" i="11" s="1"/>
  <c r="AI28" i="11"/>
  <c r="AH117" i="11" a="1"/>
  <c r="AH117" i="11" s="1"/>
  <c r="AH31" i="11" s="1"/>
  <c r="AG33" i="11"/>
  <c r="AG34" i="11" s="1"/>
  <c r="AG81" i="11"/>
  <c r="AF25" i="11" l="1"/>
  <c r="AF37" i="11" s="1"/>
  <c r="AF79" i="11"/>
  <c r="AH11" i="11"/>
  <c r="AG20" i="11" s="1"/>
  <c r="AG21" i="11" s="1"/>
  <c r="AG79" i="11" s="1"/>
  <c r="AH10" i="11"/>
  <c r="AH9" i="11"/>
  <c r="AG14" i="11"/>
  <c r="AH6" i="11"/>
  <c r="AG17" i="11"/>
  <c r="AH81" i="11"/>
  <c r="AH33" i="11"/>
  <c r="AH34" i="11" s="1"/>
  <c r="AJ28" i="11"/>
  <c r="AJ117" i="11" s="1" a="1"/>
  <c r="AJ117" i="11" s="1"/>
  <c r="AJ31" i="11" s="1"/>
  <c r="AI117" i="11" a="1"/>
  <c r="AI117" i="11" s="1"/>
  <c r="AI31" i="11" s="1"/>
  <c r="AI11" i="11" l="1"/>
  <c r="AH20" i="11" s="1"/>
  <c r="AH21" i="11" s="1"/>
  <c r="AH79" i="11" s="1"/>
  <c r="AI9" i="11"/>
  <c r="AI10" i="11"/>
  <c r="AH14" i="11"/>
  <c r="AI6" i="11"/>
  <c r="AH17" i="11"/>
  <c r="AI81" i="11"/>
  <c r="AI33" i="11"/>
  <c r="AI34" i="11" s="1"/>
  <c r="AJ81" i="11"/>
  <c r="AJ33" i="11"/>
  <c r="AJ34" i="11" s="1"/>
  <c r="AG76" i="11"/>
  <c r="AG25" i="11"/>
  <c r="AG37" i="11" s="1"/>
  <c r="AH76" i="11" l="1"/>
  <c r="AH25" i="11"/>
  <c r="AH37" i="11" s="1"/>
  <c r="AJ6" i="11"/>
  <c r="AI14" i="11"/>
  <c r="AI17" i="11"/>
  <c r="AJ9" i="11"/>
  <c r="AJ10" i="11"/>
  <c r="AJ20" i="11" s="1"/>
  <c r="AJ21" i="11" s="1"/>
  <c r="AJ79" i="11" s="1"/>
  <c r="AJ11" i="11"/>
  <c r="AI20" i="11" s="1"/>
  <c r="AI21" i="11" s="1"/>
  <c r="AI79" i="11" s="1"/>
  <c r="AI76" i="11" l="1"/>
  <c r="AI25" i="11"/>
  <c r="AI37" i="11" s="1"/>
  <c r="AJ14" i="11"/>
  <c r="AJ17" i="11"/>
  <c r="C95" i="11"/>
  <c r="AJ76" i="11" l="1"/>
  <c r="C92" i="11" s="1"/>
  <c r="AJ25" i="11"/>
  <c r="AJ37" i="11" s="1"/>
  <c r="E95" i="11"/>
  <c r="F33" i="19"/>
  <c r="X130" i="7" l="1"/>
  <c r="D58" i="9" s="1"/>
  <c r="E33" i="19"/>
  <c r="E92" i="11"/>
  <c r="E31" i="19" s="1"/>
  <c r="F31" i="19"/>
  <c r="J67" i="15" l="1"/>
  <c r="V63" i="15" l="1"/>
  <c r="I64" i="15"/>
  <c r="I79" i="26"/>
  <c r="I67" i="15"/>
  <c r="I68" i="15" s="1"/>
  <c r="J51" i="15" l="1"/>
  <c r="I75" i="26" s="1"/>
  <c r="J52" i="15"/>
  <c r="I76" i="26" s="1"/>
  <c r="J50" i="15"/>
  <c r="D66" i="27"/>
  <c r="D67" i="27" s="1"/>
  <c r="I69" i="15"/>
  <c r="I83" i="26" l="1"/>
  <c r="H70" i="26"/>
  <c r="H68" i="26"/>
  <c r="E61" i="15"/>
  <c r="D61" i="15"/>
  <c r="I74" i="26"/>
  <c r="J53" i="15"/>
  <c r="D70" i="27" l="1"/>
  <c r="L63" i="15"/>
  <c r="L67" i="15" s="1"/>
  <c r="K50" i="15"/>
  <c r="L50" i="15" s="1"/>
  <c r="K52" i="15"/>
  <c r="L52" i="15" s="1"/>
  <c r="K51" i="15"/>
  <c r="L51" i="15" s="1"/>
  <c r="I77" i="26"/>
  <c r="I80" i="26" s="1"/>
  <c r="J66" i="15"/>
  <c r="L53" i="15" l="1"/>
  <c r="J79" i="26"/>
  <c r="V67" i="15"/>
  <c r="AB67" i="15"/>
  <c r="D77" i="27"/>
  <c r="F69" i="27"/>
  <c r="J68" i="15"/>
  <c r="D78" i="27" l="1"/>
  <c r="F77" i="27"/>
  <c r="L66" i="15"/>
  <c r="L64" i="15"/>
  <c r="J69" i="15"/>
  <c r="J70" i="15"/>
  <c r="D79" i="27" s="1"/>
  <c r="J77" i="26" l="1"/>
  <c r="J80" i="26" s="1"/>
  <c r="Z81" i="26" s="1"/>
  <c r="AB66" i="15"/>
  <c r="L68" i="15"/>
  <c r="V66" i="15"/>
  <c r="L69" i="15" l="1"/>
  <c r="V68" i="15"/>
  <c r="AB68" i="15"/>
  <c r="S64" i="15" l="1"/>
  <c r="S67" i="15"/>
  <c r="S68" i="15" s="1"/>
  <c r="T66" i="15" l="1"/>
  <c r="T67" i="15"/>
  <c r="T68" i="15"/>
  <c r="S69" i="15"/>
  <c r="T69" i="15" l="1"/>
  <c r="T70" i="15"/>
  <c r="AN68" i="15" l="1"/>
  <c r="AO67" i="15" l="1"/>
  <c r="AO66" i="15"/>
  <c r="AO68" i="15"/>
  <c r="AO51" i="15"/>
  <c r="AO50" i="15"/>
  <c r="AN69" i="15"/>
  <c r="AO52" i="15"/>
  <c r="E66" i="27"/>
  <c r="AO69" i="15" l="1"/>
  <c r="AO70" i="15"/>
  <c r="E79" i="27" s="1"/>
  <c r="E67" i="27"/>
  <c r="H47" i="26" s="1"/>
  <c r="F66" i="27"/>
  <c r="AO53" i="15"/>
  <c r="AO64" i="15" s="1"/>
  <c r="AJ61" i="15" l="1"/>
  <c r="F67" i="27"/>
  <c r="P83" i="26" l="1"/>
  <c r="P70" i="26"/>
  <c r="AQ63" i="15"/>
  <c r="AP51" i="15"/>
  <c r="AQ51" i="15" s="1"/>
  <c r="AP52" i="15"/>
  <c r="AQ52" i="15" s="1"/>
  <c r="AP50" i="15"/>
  <c r="AQ50" i="15" s="1"/>
  <c r="AK61" i="15"/>
  <c r="AQ53" i="15" l="1"/>
  <c r="AQ67" i="15"/>
  <c r="AS67" i="15" s="1"/>
  <c r="E70" i="27"/>
  <c r="H48" i="26" s="1"/>
  <c r="F70" i="27"/>
  <c r="AT67" i="15" l="1"/>
  <c r="AV67" i="15"/>
  <c r="AQ64" i="15"/>
  <c r="AQ66" i="15"/>
  <c r="AQ68" i="15" l="1"/>
  <c r="AS66" i="15"/>
  <c r="G32" i="11"/>
  <c r="O32" i="11"/>
  <c r="U32" i="11"/>
  <c r="T32" i="11"/>
  <c r="V32" i="11"/>
  <c r="L32" i="11"/>
  <c r="R32" i="11"/>
  <c r="S32" i="11"/>
  <c r="H32" i="11"/>
  <c r="X32" i="11"/>
  <c r="M32" i="11"/>
  <c r="P32" i="11"/>
  <c r="K32" i="11"/>
  <c r="W32" i="11"/>
  <c r="Y32" i="11"/>
  <c r="Z32" i="11"/>
  <c r="J32" i="11"/>
  <c r="N32" i="11"/>
  <c r="Q32" i="11"/>
  <c r="I32" i="11"/>
  <c r="AT66" i="15" l="1"/>
  <c r="AV66" i="15"/>
  <c r="AS68" i="15"/>
  <c r="AQ69" i="15"/>
  <c r="X128" i="7" l="1"/>
  <c r="P151" i="7"/>
  <c r="T18" i="11" s="1"/>
  <c r="AV68" i="15"/>
  <c r="AV69" i="15" s="1"/>
  <c r="D39" i="17"/>
  <c r="E39" i="17" s="1"/>
  <c r="AT68" i="15"/>
  <c r="AT69" i="15" s="1"/>
  <c r="W18" i="11" l="1"/>
  <c r="U18" i="11"/>
  <c r="O18" i="11"/>
  <c r="N18" i="11"/>
  <c r="Q18" i="11"/>
  <c r="Q25" i="11" s="1"/>
  <c r="D56" i="9"/>
  <c r="Z18" i="11"/>
  <c r="Z25" i="11" s="1"/>
  <c r="R18" i="11"/>
  <c r="R25" i="11" s="1"/>
  <c r="L18" i="11"/>
  <c r="L77" i="11" s="1"/>
  <c r="Z167" i="7"/>
  <c r="U23" i="18" s="1"/>
  <c r="G18" i="11"/>
  <c r="G77" i="11" s="1"/>
  <c r="J18" i="11"/>
  <c r="J25" i="11" s="1"/>
  <c r="V18" i="11"/>
  <c r="V77" i="11" s="1"/>
  <c r="H18" i="11"/>
  <c r="H25" i="11" s="1"/>
  <c r="D27" i="9"/>
  <c r="X18" i="11"/>
  <c r="X25" i="11" s="1"/>
  <c r="Y18" i="11"/>
  <c r="Y77" i="11" s="1"/>
  <c r="S18" i="11"/>
  <c r="S25" i="11" s="1"/>
  <c r="I18" i="11"/>
  <c r="I77" i="11" s="1"/>
  <c r="P18" i="11"/>
  <c r="P25" i="11" s="1"/>
  <c r="M18" i="11"/>
  <c r="M25" i="11" s="1"/>
  <c r="K18" i="11"/>
  <c r="K25" i="11" s="1"/>
  <c r="N77" i="11"/>
  <c r="N25" i="11"/>
  <c r="W77" i="11"/>
  <c r="W25" i="11"/>
  <c r="U77" i="11"/>
  <c r="U25" i="11"/>
  <c r="O25" i="11"/>
  <c r="O77" i="11"/>
  <c r="T25" i="11"/>
  <c r="T77" i="11"/>
  <c r="Z77" i="11" l="1"/>
  <c r="Q77" i="11"/>
  <c r="R77" i="11"/>
  <c r="L25" i="11"/>
  <c r="G25" i="11"/>
  <c r="D7" i="10" s="1"/>
  <c r="V25" i="11"/>
  <c r="H77" i="11"/>
  <c r="J77" i="11"/>
  <c r="X77" i="11"/>
  <c r="S77" i="11"/>
  <c r="I25" i="11"/>
  <c r="D9" i="10" s="1"/>
  <c r="Y25" i="11"/>
  <c r="K77" i="11"/>
  <c r="P77" i="11"/>
  <c r="M77" i="11"/>
  <c r="D21" i="10"/>
  <c r="D19" i="10"/>
  <c r="D15" i="10"/>
  <c r="D17" i="10"/>
  <c r="D24" i="10"/>
  <c r="D23" i="10"/>
  <c r="D16" i="10"/>
  <c r="D22" i="10"/>
  <c r="D13" i="10"/>
  <c r="D18" i="10"/>
  <c r="D10" i="10"/>
  <c r="D20" i="10"/>
  <c r="D11" i="10"/>
  <c r="D12" i="10"/>
  <c r="D14" i="10"/>
  <c r="D8" i="10"/>
  <c r="D26" i="10"/>
  <c r="D25" i="10"/>
  <c r="C93" i="11" l="1"/>
  <c r="F30" i="19" s="1"/>
  <c r="E93" i="11" l="1"/>
  <c r="E30" i="19" s="1"/>
  <c r="C96" i="11"/>
  <c r="F34" i="19" s="1"/>
  <c r="G207" i="11"/>
  <c r="C154" i="11"/>
  <c r="E96" i="11"/>
  <c r="E34" i="19" s="1"/>
  <c r="G38" i="7" l="1"/>
  <c r="G51" i="7"/>
  <c r="G129" i="7" a="1"/>
  <c r="G131" i="7" a="1"/>
  <c r="G131" i="7" l="1"/>
  <c r="G129" i="7"/>
  <c r="X136" i="7"/>
  <c r="G54" i="7"/>
  <c r="U148" i="7"/>
  <c r="P4" i="18" s="1"/>
  <c r="G63" i="7"/>
  <c r="P28" i="7"/>
  <c r="P166" i="7"/>
  <c r="X143" i="7"/>
  <c r="P160" i="7" s="1"/>
  <c r="G130" i="7" a="1"/>
  <c r="G130" i="7" l="1"/>
  <c r="X144" i="7"/>
  <c r="P164" i="7" s="1"/>
  <c r="V30" i="11"/>
  <c r="S30" i="11"/>
  <c r="W30" i="11"/>
  <c r="X30" i="11"/>
  <c r="Z30" i="11"/>
  <c r="O30" i="11"/>
  <c r="Q30" i="11"/>
  <c r="R30" i="11"/>
  <c r="T30" i="11"/>
  <c r="Y30" i="11"/>
  <c r="U30" i="11"/>
  <c r="U166" i="7"/>
  <c r="P22" i="18" s="1"/>
  <c r="H30" i="11"/>
  <c r="K30" i="11"/>
  <c r="I30" i="11"/>
  <c r="J30" i="11"/>
  <c r="L30" i="11"/>
  <c r="M30" i="11"/>
  <c r="N30" i="11"/>
  <c r="G30" i="11"/>
  <c r="P30" i="11"/>
  <c r="X176" i="11"/>
  <c r="E176" i="11"/>
  <c r="Q176" i="11"/>
  <c r="S176" i="11"/>
  <c r="V176" i="11"/>
  <c r="L176" i="11"/>
  <c r="N176" i="11"/>
  <c r="I176" i="11"/>
  <c r="G76" i="7"/>
  <c r="D45" i="9"/>
  <c r="E172" i="11" l="1"/>
  <c r="P172" i="11"/>
  <c r="X177" i="11"/>
  <c r="X46" i="11"/>
  <c r="X84" i="11" s="1"/>
  <c r="G24" i="10" s="1"/>
  <c r="O81" i="11"/>
  <c r="O33" i="11"/>
  <c r="I177" i="11"/>
  <c r="I46" i="11"/>
  <c r="I84" i="11" s="1"/>
  <c r="P81" i="11"/>
  <c r="P33" i="11"/>
  <c r="H81" i="11"/>
  <c r="H33" i="11"/>
  <c r="Z33" i="11"/>
  <c r="T81" i="11"/>
  <c r="T33" i="11"/>
  <c r="Q46" i="11"/>
  <c r="Q84" i="11" s="1"/>
  <c r="G17" i="10" s="1"/>
  <c r="Q177" i="11"/>
  <c r="R81" i="11"/>
  <c r="R33" i="11"/>
  <c r="N46" i="11"/>
  <c r="N84" i="11" s="1"/>
  <c r="G14" i="10" s="1"/>
  <c r="N177" i="11"/>
  <c r="G81" i="11"/>
  <c r="G33" i="11"/>
  <c r="X81" i="11"/>
  <c r="X33" i="11"/>
  <c r="S46" i="11"/>
  <c r="S84" i="11" s="1"/>
  <c r="G19" i="10" s="1"/>
  <c r="S177" i="11"/>
  <c r="V81" i="11"/>
  <c r="V33" i="11"/>
  <c r="K81" i="11"/>
  <c r="K33" i="11"/>
  <c r="L46" i="11"/>
  <c r="L84" i="11" s="1"/>
  <c r="G12" i="10" s="1"/>
  <c r="L177" i="11"/>
  <c r="N81" i="11"/>
  <c r="N33" i="11"/>
  <c r="U81" i="11"/>
  <c r="U33" i="11"/>
  <c r="W33" i="11"/>
  <c r="W81" i="11"/>
  <c r="L81" i="11"/>
  <c r="L33" i="11"/>
  <c r="F122" i="11"/>
  <c r="F121" i="11"/>
  <c r="V46" i="11"/>
  <c r="V84" i="11" s="1"/>
  <c r="G22" i="10" s="1"/>
  <c r="V177" i="11"/>
  <c r="M81" i="11"/>
  <c r="M33" i="11"/>
  <c r="Y81" i="11"/>
  <c r="Y33" i="11"/>
  <c r="S33" i="11"/>
  <c r="S81" i="11"/>
  <c r="J81" i="11"/>
  <c r="J33" i="11"/>
  <c r="D46" i="9"/>
  <c r="I81" i="11"/>
  <c r="I33" i="11"/>
  <c r="Q81" i="11"/>
  <c r="Q33" i="11"/>
  <c r="F124" i="11" l="1"/>
  <c r="J128" i="11" s="1"/>
  <c r="M35" i="11"/>
  <c r="M34" i="11"/>
  <c r="E13" i="10"/>
  <c r="M37" i="11"/>
  <c r="K34" i="11"/>
  <c r="K35" i="11"/>
  <c r="E11" i="10"/>
  <c r="K37" i="11"/>
  <c r="E7" i="10"/>
  <c r="G37" i="11"/>
  <c r="G35" i="11"/>
  <c r="D32" i="9" s="1"/>
  <c r="G34" i="11"/>
  <c r="E20" i="10"/>
  <c r="T35" i="11"/>
  <c r="T37" i="11"/>
  <c r="T34" i="11"/>
  <c r="G9" i="10"/>
  <c r="J35" i="11"/>
  <c r="J34" i="11"/>
  <c r="E10" i="10"/>
  <c r="J37" i="11"/>
  <c r="W177" i="11"/>
  <c r="W178" i="11" s="1"/>
  <c r="V178" i="11"/>
  <c r="E23" i="10"/>
  <c r="W35" i="11"/>
  <c r="W34" i="11"/>
  <c r="W37" i="11"/>
  <c r="J177" i="11"/>
  <c r="I178" i="11"/>
  <c r="U34" i="11"/>
  <c r="E21" i="10"/>
  <c r="U35" i="11"/>
  <c r="U37" i="11"/>
  <c r="V37" i="11"/>
  <c r="V35" i="11"/>
  <c r="E22" i="10"/>
  <c r="V34" i="11"/>
  <c r="N178" i="11"/>
  <c r="O177" i="11"/>
  <c r="O34" i="11"/>
  <c r="O35" i="11"/>
  <c r="O37" i="11"/>
  <c r="E15" i="10"/>
  <c r="Z34" i="11"/>
  <c r="Z37" i="11"/>
  <c r="Z35" i="11"/>
  <c r="E26" i="10"/>
  <c r="E14" i="10"/>
  <c r="N35" i="11"/>
  <c r="N34" i="11"/>
  <c r="N37" i="11"/>
  <c r="S178" i="11"/>
  <c r="T177" i="11"/>
  <c r="H35" i="11"/>
  <c r="H34" i="11"/>
  <c r="E8" i="10"/>
  <c r="H37" i="11"/>
  <c r="S34" i="11"/>
  <c r="S37" i="11"/>
  <c r="E19" i="10"/>
  <c r="S35" i="11"/>
  <c r="Y177" i="11"/>
  <c r="X178" i="11"/>
  <c r="Q35" i="11"/>
  <c r="E17" i="10"/>
  <c r="Q37" i="11"/>
  <c r="Q34" i="11"/>
  <c r="E18" i="10"/>
  <c r="R35" i="11"/>
  <c r="R37" i="11"/>
  <c r="R34" i="11"/>
  <c r="Y35" i="11"/>
  <c r="E25" i="10"/>
  <c r="Y37" i="11"/>
  <c r="Y34" i="11"/>
  <c r="E9" i="10"/>
  <c r="I34" i="11"/>
  <c r="I35" i="11"/>
  <c r="I37" i="11"/>
  <c r="E12" i="10"/>
  <c r="L35" i="11"/>
  <c r="L34" i="11"/>
  <c r="L37" i="11"/>
  <c r="L178" i="11"/>
  <c r="M177" i="11"/>
  <c r="M178" i="11" s="1"/>
  <c r="X35" i="11"/>
  <c r="X34" i="11"/>
  <c r="X37" i="11"/>
  <c r="E24" i="10"/>
  <c r="Q178" i="11"/>
  <c r="R177" i="11"/>
  <c r="R178" i="11" s="1"/>
  <c r="P34" i="11"/>
  <c r="P35" i="11"/>
  <c r="E16" i="10"/>
  <c r="P37" i="11"/>
  <c r="P173" i="11"/>
  <c r="P46" i="11"/>
  <c r="P84" i="11" s="1"/>
  <c r="G16" i="10" s="1"/>
  <c r="K129" i="11" l="1"/>
  <c r="K45" i="11" s="1"/>
  <c r="K83" i="11" s="1"/>
  <c r="F133" i="11"/>
  <c r="F135" i="11" s="1"/>
  <c r="G132" i="11" s="1"/>
  <c r="O129" i="11"/>
  <c r="O45" i="11" s="1"/>
  <c r="O83" i="11" s="1"/>
  <c r="P128" i="11"/>
  <c r="P41" i="11" s="1"/>
  <c r="M129" i="11"/>
  <c r="M45" i="11" s="1"/>
  <c r="M83" i="11" s="1"/>
  <c r="G72" i="7"/>
  <c r="G75" i="7" s="1"/>
  <c r="K128" i="11"/>
  <c r="K41" i="11" s="1"/>
  <c r="P129" i="11"/>
  <c r="P45" i="11" s="1"/>
  <c r="P83" i="11" s="1"/>
  <c r="H129" i="11"/>
  <c r="H134" i="11" s="1"/>
  <c r="L129" i="11"/>
  <c r="L134" i="11" s="1"/>
  <c r="J129" i="11"/>
  <c r="J134" i="11" s="1"/>
  <c r="M128" i="11"/>
  <c r="M41" i="11" s="1"/>
  <c r="N129" i="11"/>
  <c r="N45" i="11" s="1"/>
  <c r="N83" i="11" s="1"/>
  <c r="I128" i="11"/>
  <c r="N128" i="11"/>
  <c r="G129" i="11"/>
  <c r="G134" i="11" s="1"/>
  <c r="I129" i="11"/>
  <c r="I45" i="11" s="1"/>
  <c r="I83" i="11" s="1"/>
  <c r="G128" i="11"/>
  <c r="G41" i="11" s="1"/>
  <c r="O128" i="11"/>
  <c r="H128" i="11"/>
  <c r="L128" i="11"/>
  <c r="L41" i="11" s="1"/>
  <c r="Q173" i="11"/>
  <c r="P174" i="11"/>
  <c r="U177" i="11"/>
  <c r="U178" i="11" s="1"/>
  <c r="T178" i="11"/>
  <c r="P177" i="11"/>
  <c r="P178" i="11" s="1"/>
  <c r="O178" i="11"/>
  <c r="P50" i="7"/>
  <c r="D101" i="11"/>
  <c r="K177" i="11"/>
  <c r="K178" i="11" s="1"/>
  <c r="J178" i="11"/>
  <c r="Z177" i="11"/>
  <c r="Y178" i="11"/>
  <c r="J41" i="11"/>
  <c r="G135" i="11" l="1"/>
  <c r="G42" i="11" s="1"/>
  <c r="G43" i="11" s="1"/>
  <c r="H45" i="11"/>
  <c r="H83" i="11" s="1"/>
  <c r="H127" i="11"/>
  <c r="H39" i="11" s="1"/>
  <c r="P8" i="10" s="1"/>
  <c r="O127" i="11"/>
  <c r="O39" i="11" s="1"/>
  <c r="P15" i="10" s="1"/>
  <c r="N127" i="11"/>
  <c r="N39" i="11" s="1"/>
  <c r="P14" i="10" s="1"/>
  <c r="L45" i="11"/>
  <c r="L83" i="11" s="1"/>
  <c r="L127" i="11"/>
  <c r="L39" i="11" s="1"/>
  <c r="P12" i="10" s="1"/>
  <c r="M134" i="11"/>
  <c r="O134" i="11"/>
  <c r="I127" i="11"/>
  <c r="I39" i="11" s="1"/>
  <c r="K134" i="11"/>
  <c r="N41" i="11"/>
  <c r="G45" i="11"/>
  <c r="G83" i="11" s="1"/>
  <c r="N134" i="11"/>
  <c r="K127" i="11"/>
  <c r="K39" i="11" s="1"/>
  <c r="P11" i="10" s="1"/>
  <c r="P127" i="11"/>
  <c r="P39" i="11" s="1"/>
  <c r="P16" i="10" s="1"/>
  <c r="I41" i="11"/>
  <c r="H41" i="11"/>
  <c r="I134" i="11"/>
  <c r="M127" i="11"/>
  <c r="M39" i="11" s="1"/>
  <c r="P13" i="10" s="1"/>
  <c r="P134" i="11"/>
  <c r="G127" i="11"/>
  <c r="G39" i="11" s="1"/>
  <c r="J45" i="11"/>
  <c r="J83" i="11" s="1"/>
  <c r="O41" i="11"/>
  <c r="J127" i="11"/>
  <c r="J39" i="11" s="1"/>
  <c r="Z178" i="11"/>
  <c r="AA177" i="11"/>
  <c r="AB177" i="11" s="1"/>
  <c r="AC177" i="11" s="1"/>
  <c r="AD177" i="11" s="1"/>
  <c r="AE177" i="11" s="1"/>
  <c r="AF177" i="11" s="1"/>
  <c r="AG177" i="11" s="1"/>
  <c r="AH177" i="11" s="1"/>
  <c r="AI177" i="11" s="1"/>
  <c r="AJ177" i="11" s="1"/>
  <c r="F237" i="11"/>
  <c r="F238" i="11" s="1"/>
  <c r="G236" i="11" s="1"/>
  <c r="G238" i="11" s="1"/>
  <c r="C109" i="12"/>
  <c r="G39" i="7"/>
  <c r="F40" i="19"/>
  <c r="F101" i="11"/>
  <c r="Q174" i="11"/>
  <c r="R173" i="11"/>
  <c r="H132" i="11" l="1"/>
  <c r="H135" i="11" s="1"/>
  <c r="H42" i="11" s="1"/>
  <c r="D100" i="11"/>
  <c r="F39" i="19" s="1"/>
  <c r="R174" i="11"/>
  <c r="S173" i="11"/>
  <c r="E40" i="19"/>
  <c r="X132" i="7"/>
  <c r="D60" i="9" s="1"/>
  <c r="F39" i="11"/>
  <c r="I40" i="11" s="1"/>
  <c r="P7" i="10"/>
  <c r="E39" i="11"/>
  <c r="P58" i="7" s="1"/>
  <c r="P59" i="7" s="1"/>
  <c r="G82" i="11"/>
  <c r="N120" i="12"/>
  <c r="N121" i="12" s="1"/>
  <c r="C110" i="12"/>
  <c r="D110" i="12" s="1"/>
  <c r="P10" i="10"/>
  <c r="P9" i="10"/>
  <c r="G48" i="11"/>
  <c r="G52" i="11" s="1"/>
  <c r="G53" i="11" s="1"/>
  <c r="G100" i="7"/>
  <c r="F100" i="7" s="1"/>
  <c r="F7" i="10"/>
  <c r="G123" i="7" a="1"/>
  <c r="I132" i="11" l="1"/>
  <c r="I135" i="11" s="1"/>
  <c r="J132" i="11" s="1"/>
  <c r="J135" i="11" s="1"/>
  <c r="F100" i="11"/>
  <c r="E39" i="19" s="1"/>
  <c r="G123" i="7"/>
  <c r="P55" i="7"/>
  <c r="P56" i="7" s="1"/>
  <c r="D8" i="9" s="1"/>
  <c r="AI40" i="11"/>
  <c r="AE40" i="11"/>
  <c r="AA40" i="11"/>
  <c r="AB40" i="11"/>
  <c r="AC40" i="11"/>
  <c r="AG40" i="11"/>
  <c r="AF40" i="11"/>
  <c r="V40" i="11"/>
  <c r="AD40" i="11"/>
  <c r="U40" i="11"/>
  <c r="W40" i="11"/>
  <c r="R40" i="11"/>
  <c r="Y40" i="11"/>
  <c r="Q40" i="11"/>
  <c r="T40" i="11"/>
  <c r="X40" i="11"/>
  <c r="AH40" i="11"/>
  <c r="S40" i="11"/>
  <c r="Z40" i="11"/>
  <c r="AJ40" i="11"/>
  <c r="H40" i="11"/>
  <c r="M40" i="11"/>
  <c r="N40" i="11"/>
  <c r="L40" i="11"/>
  <c r="K40" i="11"/>
  <c r="O40" i="11"/>
  <c r="P40" i="11"/>
  <c r="G40" i="11"/>
  <c r="H43" i="11"/>
  <c r="F8" i="10"/>
  <c r="H82" i="11"/>
  <c r="C150" i="11"/>
  <c r="C142" i="11"/>
  <c r="C148" i="11"/>
  <c r="C147" i="11"/>
  <c r="C141" i="11"/>
  <c r="C143" i="11"/>
  <c r="G101" i="7"/>
  <c r="C145" i="11"/>
  <c r="C144" i="11"/>
  <c r="C146" i="11"/>
  <c r="C120" i="12"/>
  <c r="C121" i="12" s="1"/>
  <c r="G40" i="7" s="1"/>
  <c r="G41" i="7" s="1"/>
  <c r="G208" i="11" s="1"/>
  <c r="G210" i="11" s="1"/>
  <c r="G64" i="11" s="1"/>
  <c r="D120" i="12"/>
  <c r="D121" i="12" s="1"/>
  <c r="J40" i="11"/>
  <c r="H7" i="10"/>
  <c r="S7" i="10"/>
  <c r="S174" i="11"/>
  <c r="T173" i="11"/>
  <c r="N55" i="7" l="1"/>
  <c r="I42" i="11"/>
  <c r="F9" i="10" s="1"/>
  <c r="I208" i="11"/>
  <c r="I210" i="11" s="1"/>
  <c r="I64" i="11" s="1"/>
  <c r="F51" i="11"/>
  <c r="F53" i="11" s="1"/>
  <c r="X119" i="7"/>
  <c r="M208" i="11"/>
  <c r="M210" i="11" s="1"/>
  <c r="M64" i="11" s="1"/>
  <c r="H208" i="11"/>
  <c r="H210" i="11" s="1"/>
  <c r="H64" i="11" s="1"/>
  <c r="G42" i="7"/>
  <c r="J208" i="11"/>
  <c r="J210" i="11" s="1"/>
  <c r="J64" i="11" s="1"/>
  <c r="N208" i="11"/>
  <c r="N210" i="11" s="1"/>
  <c r="N64" i="11" s="1"/>
  <c r="P208" i="11"/>
  <c r="P210" i="11" s="1"/>
  <c r="P64" i="11" s="1"/>
  <c r="L208" i="11"/>
  <c r="L210" i="11" s="1"/>
  <c r="L64" i="11" s="1"/>
  <c r="O208" i="11"/>
  <c r="O210" i="11" s="1"/>
  <c r="O64" i="11" s="1"/>
  <c r="D20" i="9"/>
  <c r="D21" i="9" s="1"/>
  <c r="K208" i="11"/>
  <c r="K210" i="11" s="1"/>
  <c r="K64" i="11" s="1"/>
  <c r="F20" i="19"/>
  <c r="T174" i="11"/>
  <c r="U173" i="11"/>
  <c r="C152" i="11"/>
  <c r="D141" i="11" s="1"/>
  <c r="P18" i="7"/>
  <c r="J42" i="11"/>
  <c r="K132" i="11"/>
  <c r="K135" i="11" s="1"/>
  <c r="H8" i="10"/>
  <c r="S8" i="10"/>
  <c r="H48" i="11"/>
  <c r="H52" i="11" s="1"/>
  <c r="H53" i="11" s="1"/>
  <c r="G77" i="7" l="1"/>
  <c r="G78" i="7" s="1"/>
  <c r="F77" i="7" s="1"/>
  <c r="I82" i="11"/>
  <c r="I43" i="11"/>
  <c r="I48" i="11" s="1"/>
  <c r="I52" i="11" s="1"/>
  <c r="I53" i="11" s="1"/>
  <c r="D144" i="11"/>
  <c r="E144" i="11" s="1"/>
  <c r="H54" i="11"/>
  <c r="G54" i="11"/>
  <c r="F66" i="11"/>
  <c r="H9" i="10"/>
  <c r="S9" i="10"/>
  <c r="E141" i="11"/>
  <c r="E149" i="11"/>
  <c r="C153" i="11"/>
  <c r="D142" i="11"/>
  <c r="V173" i="11"/>
  <c r="U174" i="11"/>
  <c r="D146" i="11"/>
  <c r="E146" i="11" s="1"/>
  <c r="K42" i="11"/>
  <c r="L132" i="11"/>
  <c r="L135" i="11" s="1"/>
  <c r="J82" i="11"/>
  <c r="J43" i="11"/>
  <c r="F10" i="10"/>
  <c r="D145" i="11"/>
  <c r="E145" i="11" s="1"/>
  <c r="D143" i="11"/>
  <c r="E143" i="11" s="1"/>
  <c r="D150" i="11"/>
  <c r="E150" i="11" s="1"/>
  <c r="E167" i="11" s="1"/>
  <c r="D148" i="11"/>
  <c r="E148" i="11" s="1"/>
  <c r="D147" i="11"/>
  <c r="E147" i="11" s="1"/>
  <c r="D152" i="11" l="1"/>
  <c r="D153" i="11" s="1"/>
  <c r="E142" i="11"/>
  <c r="M159" i="11" s="1"/>
  <c r="G164" i="11"/>
  <c r="AH164" i="11"/>
  <c r="R164" i="11"/>
  <c r="AA164" i="11"/>
  <c r="AE164" i="11"/>
  <c r="AD164" i="11"/>
  <c r="V164" i="11"/>
  <c r="Q164" i="11"/>
  <c r="N164" i="11"/>
  <c r="Z164" i="11"/>
  <c r="K164" i="11"/>
  <c r="AG164" i="11"/>
  <c r="U164" i="11"/>
  <c r="X164" i="11"/>
  <c r="AB164" i="11"/>
  <c r="T164" i="11"/>
  <c r="S164" i="11"/>
  <c r="AF164" i="11"/>
  <c r="L164" i="11"/>
  <c r="AI164" i="11"/>
  <c r="H164" i="11"/>
  <c r="AJ164" i="11"/>
  <c r="Y164" i="11"/>
  <c r="M164" i="11"/>
  <c r="AC164" i="11"/>
  <c r="P164" i="11"/>
  <c r="J164" i="11"/>
  <c r="W164" i="11"/>
  <c r="I164" i="11"/>
  <c r="O164" i="11"/>
  <c r="AI162" i="11"/>
  <c r="J162" i="11"/>
  <c r="AC162" i="11"/>
  <c r="R162" i="11"/>
  <c r="V162" i="11"/>
  <c r="AB162" i="11"/>
  <c r="U162" i="11"/>
  <c r="AA162" i="11"/>
  <c r="N162" i="11"/>
  <c r="M162" i="11"/>
  <c r="AH162" i="11"/>
  <c r="AF162" i="11"/>
  <c r="T162" i="11"/>
  <c r="H162" i="11"/>
  <c r="G162" i="11"/>
  <c r="Q162" i="11"/>
  <c r="K162" i="11"/>
  <c r="W162" i="11"/>
  <c r="Y162" i="11"/>
  <c r="P162" i="11"/>
  <c r="AG162" i="11"/>
  <c r="X162" i="11"/>
  <c r="L162" i="11"/>
  <c r="S162" i="11"/>
  <c r="AE162" i="11"/>
  <c r="Z162" i="11"/>
  <c r="I162" i="11"/>
  <c r="AD162" i="11"/>
  <c r="AJ162" i="11"/>
  <c r="O162" i="11"/>
  <c r="X165" i="11"/>
  <c r="AC165" i="11"/>
  <c r="AH165" i="11"/>
  <c r="S165" i="11"/>
  <c r="AB165" i="11"/>
  <c r="V165" i="11"/>
  <c r="M165" i="11"/>
  <c r="L165" i="11"/>
  <c r="Y165" i="11"/>
  <c r="H165" i="11"/>
  <c r="AE165" i="11"/>
  <c r="U165" i="11"/>
  <c r="N165" i="11"/>
  <c r="Q165" i="11"/>
  <c r="P165" i="11"/>
  <c r="AD165" i="11"/>
  <c r="AF165" i="11"/>
  <c r="AA165" i="11"/>
  <c r="I165" i="11"/>
  <c r="Z165" i="11"/>
  <c r="AJ165" i="11"/>
  <c r="R165" i="11"/>
  <c r="AI165" i="11"/>
  <c r="K165" i="11"/>
  <c r="W165" i="11"/>
  <c r="G165" i="11"/>
  <c r="J165" i="11"/>
  <c r="O165" i="11"/>
  <c r="AG165" i="11"/>
  <c r="T165" i="11"/>
  <c r="AB166" i="11"/>
  <c r="Q166" i="11"/>
  <c r="K166" i="11"/>
  <c r="L166" i="11"/>
  <c r="AF166" i="11"/>
  <c r="I166" i="11"/>
  <c r="W166" i="11"/>
  <c r="Y166" i="11"/>
  <c r="X166" i="11"/>
  <c r="J166" i="11"/>
  <c r="U166" i="11"/>
  <c r="Z166" i="11"/>
  <c r="AD166" i="11"/>
  <c r="AH166" i="11"/>
  <c r="AG166" i="11"/>
  <c r="AA166" i="11"/>
  <c r="R166" i="11"/>
  <c r="H166" i="11"/>
  <c r="AE166" i="11"/>
  <c r="M166" i="11"/>
  <c r="G166" i="11"/>
  <c r="AJ166" i="11"/>
  <c r="S166" i="11"/>
  <c r="N166" i="11"/>
  <c r="AC166" i="11"/>
  <c r="P166" i="11"/>
  <c r="T166" i="11"/>
  <c r="O166" i="11"/>
  <c r="V166" i="11"/>
  <c r="AI166" i="11"/>
  <c r="K82" i="11"/>
  <c r="F11" i="10"/>
  <c r="K43" i="11"/>
  <c r="S158" i="11"/>
  <c r="T158" i="11"/>
  <c r="L158" i="11"/>
  <c r="K158" i="11"/>
  <c r="O158" i="11"/>
  <c r="Z158" i="11"/>
  <c r="W158" i="11"/>
  <c r="N158" i="11"/>
  <c r="V158" i="11"/>
  <c r="P158" i="11"/>
  <c r="Y158" i="11"/>
  <c r="J158" i="11"/>
  <c r="AE158" i="11"/>
  <c r="I158" i="11"/>
  <c r="AD158" i="11"/>
  <c r="AB158" i="11"/>
  <c r="AF158" i="11"/>
  <c r="AI158" i="11"/>
  <c r="M158" i="11"/>
  <c r="AG158" i="11"/>
  <c r="AH158" i="11"/>
  <c r="G158" i="11"/>
  <c r="R158" i="11"/>
  <c r="X158" i="11"/>
  <c r="Q158" i="11"/>
  <c r="AA158" i="11"/>
  <c r="AC158" i="11"/>
  <c r="U158" i="11"/>
  <c r="AJ158" i="11"/>
  <c r="H158" i="11"/>
  <c r="I54" i="11"/>
  <c r="H10" i="10"/>
  <c r="S10" i="10"/>
  <c r="J48" i="11"/>
  <c r="J52" i="11" s="1"/>
  <c r="J53" i="11" s="1"/>
  <c r="J54" i="11" s="1"/>
  <c r="G161" i="11"/>
  <c r="AJ161" i="11"/>
  <c r="W161" i="11"/>
  <c r="AG161" i="11"/>
  <c r="V161" i="11"/>
  <c r="AA161" i="11"/>
  <c r="AF161" i="11"/>
  <c r="T161" i="11"/>
  <c r="L161" i="11"/>
  <c r="K161" i="11"/>
  <c r="AH161" i="11"/>
  <c r="O161" i="11"/>
  <c r="Z161" i="11"/>
  <c r="AC161" i="11"/>
  <c r="X161" i="11"/>
  <c r="AD161" i="11"/>
  <c r="Y161" i="11"/>
  <c r="P161" i="11"/>
  <c r="R161" i="11"/>
  <c r="J161" i="11"/>
  <c r="S161" i="11"/>
  <c r="N161" i="11"/>
  <c r="AE161" i="11"/>
  <c r="Q161" i="11"/>
  <c r="AB161" i="11"/>
  <c r="U161" i="11"/>
  <c r="AI161" i="11"/>
  <c r="H161" i="11"/>
  <c r="I161" i="11"/>
  <c r="M161" i="11"/>
  <c r="F76" i="7"/>
  <c r="F72" i="7"/>
  <c r="F75" i="7" s="1"/>
  <c r="J163" i="11"/>
  <c r="Q163" i="11"/>
  <c r="AE163" i="11"/>
  <c r="AI163" i="11"/>
  <c r="W163" i="11"/>
  <c r="S163" i="11"/>
  <c r="H163" i="11"/>
  <c r="AB163" i="11"/>
  <c r="Y163" i="11"/>
  <c r="X163" i="11"/>
  <c r="AF163" i="11"/>
  <c r="AC163" i="11"/>
  <c r="U163" i="11"/>
  <c r="M163" i="11"/>
  <c r="V163" i="11"/>
  <c r="I163" i="11"/>
  <c r="AJ163" i="11"/>
  <c r="K163" i="11"/>
  <c r="N163" i="11"/>
  <c r="T163" i="11"/>
  <c r="L163" i="11"/>
  <c r="O163" i="11"/>
  <c r="Z163" i="11"/>
  <c r="AD163" i="11"/>
  <c r="G163" i="11"/>
  <c r="P163" i="11"/>
  <c r="AH163" i="11"/>
  <c r="AG163" i="11"/>
  <c r="AA163" i="11"/>
  <c r="R163" i="11"/>
  <c r="W173" i="11"/>
  <c r="V174" i="11"/>
  <c r="G160" i="11"/>
  <c r="Q160" i="11"/>
  <c r="AA160" i="11"/>
  <c r="M160" i="11"/>
  <c r="AB160" i="11"/>
  <c r="P160" i="11"/>
  <c r="W160" i="11"/>
  <c r="AI160" i="11"/>
  <c r="AD160" i="11"/>
  <c r="AJ160" i="11"/>
  <c r="N160" i="11"/>
  <c r="AH160" i="11"/>
  <c r="Z160" i="11"/>
  <c r="O160" i="11"/>
  <c r="AC160" i="11"/>
  <c r="X160" i="11"/>
  <c r="I160" i="11"/>
  <c r="Y160" i="11"/>
  <c r="R160" i="11"/>
  <c r="L160" i="11"/>
  <c r="S160" i="11"/>
  <c r="T160" i="11"/>
  <c r="U160" i="11"/>
  <c r="J160" i="11"/>
  <c r="H160" i="11"/>
  <c r="AE160" i="11"/>
  <c r="AG160" i="11"/>
  <c r="V160" i="11"/>
  <c r="AF160" i="11"/>
  <c r="K160" i="11"/>
  <c r="L42" i="11"/>
  <c r="M132" i="11"/>
  <c r="M135" i="11" s="1"/>
  <c r="F87" i="11"/>
  <c r="D98" i="11" s="1"/>
  <c r="M6" i="10"/>
  <c r="AG159" i="11" l="1"/>
  <c r="AB159" i="11"/>
  <c r="AC159" i="11"/>
  <c r="Z159" i="11"/>
  <c r="I159" i="11"/>
  <c r="I180" i="11" s="1"/>
  <c r="W159" i="11"/>
  <c r="X159" i="11"/>
  <c r="H159" i="11"/>
  <c r="H180" i="11" s="1"/>
  <c r="AH159" i="11"/>
  <c r="O159" i="11"/>
  <c r="O180" i="11" s="1"/>
  <c r="G159" i="11"/>
  <c r="G180" i="11" s="1"/>
  <c r="E152" i="11"/>
  <c r="E153" i="11" s="1"/>
  <c r="J159" i="11"/>
  <c r="J180" i="11" s="1"/>
  <c r="S159" i="11"/>
  <c r="S180" i="11" s="1"/>
  <c r="AI159" i="11"/>
  <c r="AJ159" i="11"/>
  <c r="U159" i="11"/>
  <c r="U180" i="11" s="1"/>
  <c r="L159" i="11"/>
  <c r="L180" i="11" s="1"/>
  <c r="L182" i="11" s="1"/>
  <c r="R159" i="11"/>
  <c r="R180" i="11" s="1"/>
  <c r="AF159" i="11"/>
  <c r="Y159" i="11"/>
  <c r="AA159" i="11"/>
  <c r="P159" i="11"/>
  <c r="P180" i="11" s="1"/>
  <c r="V159" i="11"/>
  <c r="V180" i="11" s="1"/>
  <c r="Q159" i="11"/>
  <c r="Q180" i="11" s="1"/>
  <c r="N159" i="11"/>
  <c r="N180" i="11" s="1"/>
  <c r="AE159" i="11"/>
  <c r="K159" i="11"/>
  <c r="K180" i="11" s="1"/>
  <c r="T159" i="11"/>
  <c r="T180" i="11" s="1"/>
  <c r="AD159" i="11"/>
  <c r="F98" i="11"/>
  <c r="E37" i="19" s="1"/>
  <c r="F37" i="19"/>
  <c r="M42" i="11"/>
  <c r="N132" i="11"/>
  <c r="N135" i="11" s="1"/>
  <c r="E160" i="11"/>
  <c r="E163" i="11"/>
  <c r="E161" i="11"/>
  <c r="E165" i="11"/>
  <c r="E162" i="11"/>
  <c r="P75" i="7"/>
  <c r="P51" i="7" s="1"/>
  <c r="H236" i="11" s="1"/>
  <c r="H238" i="11" s="1"/>
  <c r="I236" i="11" s="1"/>
  <c r="I238" i="11" s="1"/>
  <c r="J236" i="11" s="1"/>
  <c r="J238" i="11" s="1"/>
  <c r="K236" i="11" s="1"/>
  <c r="K238" i="11" s="1"/>
  <c r="L236" i="11" s="1"/>
  <c r="L238" i="11" s="1"/>
  <c r="M236" i="11" s="1"/>
  <c r="M238" i="11" s="1"/>
  <c r="N236" i="11" s="1"/>
  <c r="N238" i="11" s="1"/>
  <c r="O236" i="11" s="1"/>
  <c r="O238" i="11" s="1"/>
  <c r="P236" i="11" s="1"/>
  <c r="P238" i="11" s="1"/>
  <c r="Q236" i="11" s="1"/>
  <c r="Q238" i="11" s="1"/>
  <c r="R236" i="11" s="1"/>
  <c r="R238" i="11" s="1"/>
  <c r="S236" i="11" s="1"/>
  <c r="S238" i="11" s="1"/>
  <c r="T236" i="11" s="1"/>
  <c r="T238" i="11" s="1"/>
  <c r="U236" i="11" s="1"/>
  <c r="U238" i="11" s="1"/>
  <c r="V236" i="11" s="1"/>
  <c r="V238" i="11" s="1"/>
  <c r="W236" i="11" s="1"/>
  <c r="W238" i="11" s="1"/>
  <c r="X236" i="11" s="1"/>
  <c r="X238" i="11" s="1"/>
  <c r="Y236" i="11" s="1"/>
  <c r="Y238" i="11" s="1"/>
  <c r="Z236" i="11" s="1"/>
  <c r="E158" i="11"/>
  <c r="L43" i="11"/>
  <c r="F12" i="10"/>
  <c r="L82" i="11"/>
  <c r="X173" i="11"/>
  <c r="W174" i="11"/>
  <c r="W180" i="11" s="1"/>
  <c r="H11" i="10"/>
  <c r="S11" i="10"/>
  <c r="V6" i="10"/>
  <c r="N6" i="10"/>
  <c r="M180" i="11"/>
  <c r="K48" i="11"/>
  <c r="K52" i="11" s="1"/>
  <c r="K53" i="11" s="1"/>
  <c r="E166" i="11"/>
  <c r="E164" i="11"/>
  <c r="E159" i="11" l="1"/>
  <c r="E168" i="11" s="1"/>
  <c r="F168" i="11" s="1"/>
  <c r="L56" i="11"/>
  <c r="L57" i="11" s="1"/>
  <c r="W56" i="11"/>
  <c r="W182" i="11"/>
  <c r="Y173" i="11"/>
  <c r="X174" i="11"/>
  <c r="X180" i="11" s="1"/>
  <c r="I182" i="11"/>
  <c r="I56" i="11"/>
  <c r="I57" i="11" s="1"/>
  <c r="S12" i="10"/>
  <c r="H12" i="10"/>
  <c r="G56" i="11"/>
  <c r="G57" i="11" s="1"/>
  <c r="G182" i="11"/>
  <c r="T56" i="11"/>
  <c r="T182" i="11"/>
  <c r="N42" i="11"/>
  <c r="O132" i="11"/>
  <c r="O135" i="11" s="1"/>
  <c r="M182" i="11"/>
  <c r="M56" i="11"/>
  <c r="O56" i="11"/>
  <c r="O182" i="11"/>
  <c r="L48" i="11"/>
  <c r="L52" i="11" s="1"/>
  <c r="L53" i="11" s="1"/>
  <c r="N182" i="11"/>
  <c r="N56" i="11"/>
  <c r="P182" i="11"/>
  <c r="P56" i="11"/>
  <c r="M43" i="11"/>
  <c r="F13" i="10"/>
  <c r="M82" i="11"/>
  <c r="K54" i="11"/>
  <c r="J182" i="11"/>
  <c r="J56" i="11"/>
  <c r="J57" i="11" s="1"/>
  <c r="H56" i="11"/>
  <c r="H57" i="11" s="1"/>
  <c r="H182" i="11"/>
  <c r="R56" i="11"/>
  <c r="R182" i="11"/>
  <c r="S56" i="11"/>
  <c r="S182" i="11"/>
  <c r="Q56" i="11"/>
  <c r="Q182" i="11"/>
  <c r="V182" i="11"/>
  <c r="V56" i="11"/>
  <c r="Z237" i="11"/>
  <c r="Z47" i="11" s="1"/>
  <c r="K56" i="11"/>
  <c r="K57" i="11" s="1"/>
  <c r="K182" i="11"/>
  <c r="U182" i="11"/>
  <c r="U56" i="11"/>
  <c r="Z238" i="11" l="1"/>
  <c r="AA236" i="11" s="1"/>
  <c r="AA238" i="11" s="1"/>
  <c r="AB236" i="11" s="1"/>
  <c r="AB238" i="11" s="1"/>
  <c r="AC236" i="11" s="1"/>
  <c r="AC238" i="11" s="1"/>
  <c r="AD236" i="11" s="1"/>
  <c r="AD238" i="11" s="1"/>
  <c r="AE236" i="11" s="1"/>
  <c r="AE238" i="11" s="1"/>
  <c r="AF236" i="11" s="1"/>
  <c r="AF238" i="11" s="1"/>
  <c r="AG236" i="11" s="1"/>
  <c r="AG238" i="11" s="1"/>
  <c r="AH236" i="11" s="1"/>
  <c r="AH238" i="11" s="1"/>
  <c r="AI236" i="11" s="1"/>
  <c r="AI238" i="11" s="1"/>
  <c r="AJ236" i="11" s="1"/>
  <c r="AJ238" i="11" s="1"/>
  <c r="H13" i="10"/>
  <c r="S13" i="10"/>
  <c r="F14" i="10"/>
  <c r="N43" i="11"/>
  <c r="N82" i="11"/>
  <c r="L54" i="11"/>
  <c r="L187" i="11"/>
  <c r="L59" i="11"/>
  <c r="L60" i="11"/>
  <c r="M57" i="11"/>
  <c r="M48" i="11"/>
  <c r="M52" i="11" s="1"/>
  <c r="M53" i="11" s="1"/>
  <c r="I60" i="11"/>
  <c r="I187" i="11"/>
  <c r="I59" i="11"/>
  <c r="O42" i="11"/>
  <c r="P132" i="11"/>
  <c r="P135" i="11" s="1"/>
  <c r="K60" i="11"/>
  <c r="K187" i="11"/>
  <c r="K59" i="11"/>
  <c r="J60" i="11"/>
  <c r="J59" i="11"/>
  <c r="J187" i="11"/>
  <c r="Y174" i="11"/>
  <c r="Y180" i="11" s="1"/>
  <c r="Z173" i="11"/>
  <c r="H187" i="11"/>
  <c r="H60" i="11"/>
  <c r="H59" i="11"/>
  <c r="G26" i="10"/>
  <c r="Z81" i="11"/>
  <c r="G187" i="11"/>
  <c r="G59" i="11"/>
  <c r="G60" i="11"/>
  <c r="X56" i="11"/>
  <c r="X182" i="11"/>
  <c r="J7" i="10" l="1"/>
  <c r="G63" i="11"/>
  <c r="L7" i="10" s="1"/>
  <c r="I12" i="10"/>
  <c r="I7" i="10"/>
  <c r="AA173" i="11"/>
  <c r="Z174" i="11"/>
  <c r="Z180" i="11" s="1"/>
  <c r="K191" i="11"/>
  <c r="K199" i="11"/>
  <c r="L199" i="11"/>
  <c r="L191" i="11"/>
  <c r="I11" i="10"/>
  <c r="G199" i="11"/>
  <c r="G192" i="11"/>
  <c r="G191" i="11"/>
  <c r="G200" i="11"/>
  <c r="Y182" i="11"/>
  <c r="Y56" i="11"/>
  <c r="K63" i="11"/>
  <c r="L11" i="10" s="1"/>
  <c r="J11" i="10"/>
  <c r="O43" i="11"/>
  <c r="O82" i="11"/>
  <c r="F15" i="10"/>
  <c r="H191" i="11"/>
  <c r="H199" i="11"/>
  <c r="H192" i="11"/>
  <c r="H200" i="11"/>
  <c r="P42" i="11"/>
  <c r="Q132" i="11"/>
  <c r="Q135" i="11" s="1"/>
  <c r="J191" i="11"/>
  <c r="J199" i="11"/>
  <c r="M54" i="11"/>
  <c r="N57" i="11"/>
  <c r="N48" i="11"/>
  <c r="N52" i="11" s="1"/>
  <c r="N53" i="11" s="1"/>
  <c r="D97" i="11"/>
  <c r="I8" i="10"/>
  <c r="I10" i="10"/>
  <c r="I9" i="10"/>
  <c r="M60" i="11"/>
  <c r="M187" i="11"/>
  <c r="M59" i="11"/>
  <c r="H14" i="10"/>
  <c r="S14" i="10"/>
  <c r="I63" i="11"/>
  <c r="L9" i="10" s="1"/>
  <c r="J9" i="10"/>
  <c r="J8" i="10"/>
  <c r="H63" i="11"/>
  <c r="L8" i="10" s="1"/>
  <c r="J63" i="11"/>
  <c r="L10" i="10" s="1"/>
  <c r="J10" i="10"/>
  <c r="I192" i="11"/>
  <c r="I199" i="11"/>
  <c r="I191" i="11"/>
  <c r="I200" i="11"/>
  <c r="J12" i="10"/>
  <c r="L63" i="11"/>
  <c r="L12" i="10" s="1"/>
  <c r="G62" i="11" l="1"/>
  <c r="G85" i="11" s="1"/>
  <c r="H195" i="11"/>
  <c r="I203" i="11"/>
  <c r="I195" i="11"/>
  <c r="H62" i="11"/>
  <c r="H66" i="11" s="1"/>
  <c r="G201" i="11"/>
  <c r="H198" i="11" s="1"/>
  <c r="H201" i="11" s="1"/>
  <c r="I198" i="11" s="1"/>
  <c r="I201" i="11" s="1"/>
  <c r="J198" i="11" s="1"/>
  <c r="H203" i="11"/>
  <c r="G203" i="11"/>
  <c r="M199" i="11"/>
  <c r="M191" i="11"/>
  <c r="F41" i="19"/>
  <c r="F97" i="11"/>
  <c r="AB173" i="11"/>
  <c r="AA174" i="11"/>
  <c r="J13" i="10"/>
  <c r="M63" i="11"/>
  <c r="L13" i="10" s="1"/>
  <c r="K62" i="11"/>
  <c r="I62" i="11"/>
  <c r="N60" i="11"/>
  <c r="N187" i="11"/>
  <c r="N59" i="11"/>
  <c r="Q42" i="11"/>
  <c r="R132" i="11"/>
  <c r="R135" i="11" s="1"/>
  <c r="Z182" i="11"/>
  <c r="Z56" i="11"/>
  <c r="F16" i="10"/>
  <c r="P82" i="11"/>
  <c r="P43" i="11"/>
  <c r="S15" i="10"/>
  <c r="H15" i="10"/>
  <c r="L62" i="11"/>
  <c r="J62" i="11"/>
  <c r="G193" i="11"/>
  <c r="H190" i="11" s="1"/>
  <c r="H193" i="11" s="1"/>
  <c r="I190" i="11" s="1"/>
  <c r="I193" i="11" s="1"/>
  <c r="I13" i="10"/>
  <c r="N54" i="11"/>
  <c r="O57" i="11"/>
  <c r="O48" i="11"/>
  <c r="O52" i="11" s="1"/>
  <c r="O53" i="11" s="1"/>
  <c r="O54" i="11" s="1"/>
  <c r="G195" i="11"/>
  <c r="K8" i="10" l="1"/>
  <c r="R8" i="10" s="1"/>
  <c r="G66" i="11"/>
  <c r="H67" i="11" s="1"/>
  <c r="O8" i="10" s="1"/>
  <c r="K7" i="10"/>
  <c r="M7" i="10" s="1"/>
  <c r="H85" i="11"/>
  <c r="H87" i="11" s="1"/>
  <c r="M62" i="11"/>
  <c r="K13" i="10" s="1"/>
  <c r="O60" i="11"/>
  <c r="O59" i="11"/>
  <c r="O187" i="11"/>
  <c r="K10" i="10"/>
  <c r="J85" i="11"/>
  <c r="J87" i="11" s="1"/>
  <c r="J66" i="11"/>
  <c r="L85" i="11"/>
  <c r="L87" i="11" s="1"/>
  <c r="K12" i="10"/>
  <c r="L66" i="11"/>
  <c r="S132" i="11"/>
  <c r="S135" i="11" s="1"/>
  <c r="R42" i="11"/>
  <c r="G87" i="11"/>
  <c r="AB174" i="11"/>
  <c r="AC173" i="11"/>
  <c r="F17" i="10"/>
  <c r="Q82" i="11"/>
  <c r="Q43" i="11"/>
  <c r="K85" i="11"/>
  <c r="K87" i="11" s="1"/>
  <c r="K11" i="10"/>
  <c r="K66" i="11"/>
  <c r="I14" i="10"/>
  <c r="P48" i="11"/>
  <c r="P52" i="11" s="1"/>
  <c r="P53" i="11" s="1"/>
  <c r="P57" i="11"/>
  <c r="N199" i="11"/>
  <c r="N191" i="11"/>
  <c r="E41" i="19"/>
  <c r="E48" i="19" s="1"/>
  <c r="X131" i="7"/>
  <c r="D59" i="9" s="1"/>
  <c r="N63" i="11"/>
  <c r="L14" i="10" s="1"/>
  <c r="J14" i="10"/>
  <c r="J190" i="11"/>
  <c r="J200" i="11"/>
  <c r="J203" i="11" s="1"/>
  <c r="J192" i="11"/>
  <c r="J195" i="11" s="1"/>
  <c r="H16" i="10"/>
  <c r="S16" i="10"/>
  <c r="K9" i="10"/>
  <c r="I85" i="11"/>
  <c r="I87" i="11" s="1"/>
  <c r="I66" i="11"/>
  <c r="J67" i="11" l="1"/>
  <c r="O10" i="10" s="1"/>
  <c r="G67" i="11"/>
  <c r="O7" i="10" s="1"/>
  <c r="M8" i="10"/>
  <c r="V8" i="10" s="1"/>
  <c r="R7" i="10"/>
  <c r="M66" i="11"/>
  <c r="M67" i="11" s="1"/>
  <c r="O13" i="10" s="1"/>
  <c r="M85" i="11"/>
  <c r="M87" i="11" s="1"/>
  <c r="N62" i="11"/>
  <c r="N85" i="11" s="1"/>
  <c r="N87" i="11" s="1"/>
  <c r="J193" i="11"/>
  <c r="K200" i="11" s="1"/>
  <c r="K203" i="11" s="1"/>
  <c r="R10" i="10"/>
  <c r="M10" i="10"/>
  <c r="V10" i="10" s="1"/>
  <c r="R11" i="10"/>
  <c r="M11" i="10"/>
  <c r="V11" i="10" s="1"/>
  <c r="Q48" i="11"/>
  <c r="Q52" i="11" s="1"/>
  <c r="Q53" i="11" s="1"/>
  <c r="Q57" i="11"/>
  <c r="V7" i="10"/>
  <c r="N7" i="10"/>
  <c r="R13" i="10"/>
  <c r="M13" i="10"/>
  <c r="V13" i="10" s="1"/>
  <c r="T132" i="11"/>
  <c r="T135" i="11" s="1"/>
  <c r="S42" i="11"/>
  <c r="R82" i="11"/>
  <c r="F18" i="10"/>
  <c r="R43" i="11"/>
  <c r="H17" i="10"/>
  <c r="S17" i="10"/>
  <c r="I67" i="11"/>
  <c r="O9" i="10" s="1"/>
  <c r="O199" i="11"/>
  <c r="O191" i="11"/>
  <c r="R9" i="10"/>
  <c r="M9" i="10"/>
  <c r="V9" i="10" s="1"/>
  <c r="R12" i="10"/>
  <c r="M12" i="10"/>
  <c r="V12" i="10" s="1"/>
  <c r="I15" i="10"/>
  <c r="P54" i="11"/>
  <c r="J201" i="11"/>
  <c r="K198" i="11" s="1"/>
  <c r="AC174" i="11"/>
  <c r="AD173" i="11"/>
  <c r="O63" i="11"/>
  <c r="L15" i="10" s="1"/>
  <c r="J15" i="10"/>
  <c r="P59" i="11"/>
  <c r="P60" i="11"/>
  <c r="P187" i="11"/>
  <c r="L67" i="11"/>
  <c r="O12" i="10" s="1"/>
  <c r="K67" i="11"/>
  <c r="O11" i="10" s="1"/>
  <c r="N8" i="10" l="1"/>
  <c r="N9" i="10" s="1"/>
  <c r="N10" i="10" s="1"/>
  <c r="N11" i="10" s="1"/>
  <c r="N12" i="10" s="1"/>
  <c r="N13" i="10" s="1"/>
  <c r="K192" i="11"/>
  <c r="K195" i="11" s="1"/>
  <c r="K190" i="11"/>
  <c r="N66" i="11"/>
  <c r="N67" i="11" s="1"/>
  <c r="O14" i="10" s="1"/>
  <c r="K14" i="10"/>
  <c r="R14" i="10" s="1"/>
  <c r="K201" i="11"/>
  <c r="L198" i="11" s="1"/>
  <c r="O62" i="11"/>
  <c r="F19" i="10"/>
  <c r="S82" i="11"/>
  <c r="S43" i="11"/>
  <c r="R48" i="11"/>
  <c r="R52" i="11" s="1"/>
  <c r="R53" i="11" s="1"/>
  <c r="R57" i="11"/>
  <c r="T42" i="11"/>
  <c r="U132" i="11"/>
  <c r="U135" i="11" s="1"/>
  <c r="Q187" i="11"/>
  <c r="Q60" i="11"/>
  <c r="Q59" i="11"/>
  <c r="H18" i="10"/>
  <c r="S18" i="10"/>
  <c r="Q54" i="11"/>
  <c r="I16" i="10"/>
  <c r="AD174" i="11"/>
  <c r="AE173" i="11"/>
  <c r="P199" i="11"/>
  <c r="P191" i="11"/>
  <c r="P63" i="11"/>
  <c r="L16" i="10" s="1"/>
  <c r="J16" i="10"/>
  <c r="K193" i="11" l="1"/>
  <c r="L190" i="11" s="1"/>
  <c r="M14" i="10"/>
  <c r="V14" i="10" s="1"/>
  <c r="P62" i="11"/>
  <c r="P66" i="11" s="1"/>
  <c r="J17" i="10"/>
  <c r="Q63" i="11"/>
  <c r="L17" i="10" s="1"/>
  <c r="I17" i="10"/>
  <c r="Q199" i="11"/>
  <c r="Q191" i="11"/>
  <c r="H19" i="10"/>
  <c r="S19" i="10"/>
  <c r="V132" i="11"/>
  <c r="V135" i="11" s="1"/>
  <c r="U42" i="11"/>
  <c r="O85" i="11"/>
  <c r="K15" i="10"/>
  <c r="O66" i="11"/>
  <c r="T82" i="11"/>
  <c r="F20" i="10"/>
  <c r="T43" i="11"/>
  <c r="S48" i="11"/>
  <c r="S52" i="11" s="1"/>
  <c r="S53" i="11" s="1"/>
  <c r="S57" i="11"/>
  <c r="R60" i="11"/>
  <c r="R187" i="11"/>
  <c r="R59" i="11"/>
  <c r="AE174" i="11"/>
  <c r="AF173" i="11"/>
  <c r="R54" i="11"/>
  <c r="K16" i="10" l="1"/>
  <c r="M16" i="10" s="1"/>
  <c r="V16" i="10" s="1"/>
  <c r="P85" i="11"/>
  <c r="P87" i="11" s="1"/>
  <c r="L192" i="11"/>
  <c r="L195" i="11" s="1"/>
  <c r="L200" i="11"/>
  <c r="L203" i="11" s="1"/>
  <c r="N14" i="10"/>
  <c r="Q62" i="11"/>
  <c r="Q85" i="11" s="1"/>
  <c r="Q87" i="11" s="1"/>
  <c r="H20" i="10"/>
  <c r="S20" i="10"/>
  <c r="R63" i="11"/>
  <c r="L18" i="10" s="1"/>
  <c r="J18" i="10"/>
  <c r="S59" i="11"/>
  <c r="S60" i="11"/>
  <c r="S187" i="11"/>
  <c r="P67" i="11"/>
  <c r="O16" i="10" s="1"/>
  <c r="O67" i="11"/>
  <c r="O15" i="10" s="1"/>
  <c r="S54" i="11"/>
  <c r="R15" i="10"/>
  <c r="M15" i="10"/>
  <c r="AF174" i="11"/>
  <c r="AG173" i="11"/>
  <c r="O87" i="11"/>
  <c r="U82" i="11"/>
  <c r="F21" i="10"/>
  <c r="U43" i="11"/>
  <c r="I18" i="10"/>
  <c r="V42" i="11"/>
  <c r="W132" i="11"/>
  <c r="W135" i="11" s="1"/>
  <c r="R199" i="11"/>
  <c r="R191" i="11"/>
  <c r="T48" i="11"/>
  <c r="T52" i="11" s="1"/>
  <c r="T53" i="11" s="1"/>
  <c r="T57" i="11"/>
  <c r="R16" i="10" l="1"/>
  <c r="K17" i="10"/>
  <c r="R17" i="10" s="1"/>
  <c r="L201" i="11"/>
  <c r="M198" i="11" s="1"/>
  <c r="L193" i="11"/>
  <c r="Q66" i="11"/>
  <c r="Q67" i="11" s="1"/>
  <c r="O17" i="10" s="1"/>
  <c r="R62" i="11"/>
  <c r="R66" i="11" s="1"/>
  <c r="H21" i="10"/>
  <c r="S21" i="10"/>
  <c r="V82" i="11"/>
  <c r="F22" i="10"/>
  <c r="V43" i="11"/>
  <c r="U48" i="11"/>
  <c r="U52" i="11" s="1"/>
  <c r="U53" i="11" s="1"/>
  <c r="U57" i="11"/>
  <c r="S199" i="11"/>
  <c r="S191" i="11"/>
  <c r="AH173" i="11"/>
  <c r="AG174" i="11"/>
  <c r="T59" i="11"/>
  <c r="T187" i="11"/>
  <c r="T60" i="11"/>
  <c r="W42" i="11"/>
  <c r="X132" i="11"/>
  <c r="X135" i="11" s="1"/>
  <c r="V15" i="10"/>
  <c r="N15" i="10"/>
  <c r="N16" i="10" s="1"/>
  <c r="J19" i="10"/>
  <c r="S63" i="11"/>
  <c r="L19" i="10" s="1"/>
  <c r="T54" i="11"/>
  <c r="I19" i="10"/>
  <c r="M17" i="10" l="1"/>
  <c r="V17" i="10" s="1"/>
  <c r="M190" i="11"/>
  <c r="M200" i="11"/>
  <c r="M192" i="11"/>
  <c r="M195" i="11" s="1"/>
  <c r="R85" i="11"/>
  <c r="R87" i="11" s="1"/>
  <c r="K18" i="10"/>
  <c r="R18" i="10" s="1"/>
  <c r="R67" i="11"/>
  <c r="O18" i="10" s="1"/>
  <c r="W82" i="11"/>
  <c r="F23" i="10"/>
  <c r="W43" i="11"/>
  <c r="T63" i="11"/>
  <c r="L20" i="10" s="1"/>
  <c r="J20" i="10"/>
  <c r="T191" i="11"/>
  <c r="T199" i="11"/>
  <c r="U59" i="11"/>
  <c r="U187" i="11"/>
  <c r="U60" i="11"/>
  <c r="I20" i="10"/>
  <c r="S62" i="11"/>
  <c r="AH174" i="11"/>
  <c r="AI173" i="11"/>
  <c r="U54" i="11"/>
  <c r="V48" i="11"/>
  <c r="V52" i="11" s="1"/>
  <c r="V53" i="11" s="1"/>
  <c r="V57" i="11"/>
  <c r="X42" i="11"/>
  <c r="Y132" i="11"/>
  <c r="Y135" i="11" s="1"/>
  <c r="S22" i="10"/>
  <c r="H22" i="10"/>
  <c r="N17" i="10" l="1"/>
  <c r="M18" i="10"/>
  <c r="V18" i="10" s="1"/>
  <c r="M203" i="11"/>
  <c r="M201" i="11"/>
  <c r="N198" i="11" s="1"/>
  <c r="M193" i="11"/>
  <c r="T62" i="11"/>
  <c r="F24" i="10"/>
  <c r="X82" i="11"/>
  <c r="X43" i="11"/>
  <c r="U63" i="11"/>
  <c r="L21" i="10" s="1"/>
  <c r="J21" i="10"/>
  <c r="V187" i="11"/>
  <c r="V59" i="11"/>
  <c r="V60" i="11"/>
  <c r="U191" i="11"/>
  <c r="U199" i="11"/>
  <c r="W57" i="11"/>
  <c r="W48" i="11"/>
  <c r="W52" i="11" s="1"/>
  <c r="W53" i="11" s="1"/>
  <c r="V54" i="11"/>
  <c r="H23" i="10"/>
  <c r="S23" i="10"/>
  <c r="I21" i="10"/>
  <c r="Y42" i="11"/>
  <c r="Z132" i="11"/>
  <c r="Z135" i="11" s="1"/>
  <c r="AI174" i="11"/>
  <c r="AJ173" i="11"/>
  <c r="AJ174" i="11" s="1"/>
  <c r="S85" i="11"/>
  <c r="S87" i="11" s="1"/>
  <c r="K19" i="10"/>
  <c r="S66" i="11"/>
  <c r="S67" i="11" s="1"/>
  <c r="O19" i="10" s="1"/>
  <c r="N18" i="10" l="1"/>
  <c r="N192" i="11"/>
  <c r="N195" i="11" s="1"/>
  <c r="N190" i="11"/>
  <c r="N200" i="11"/>
  <c r="X48" i="11"/>
  <c r="X52" i="11" s="1"/>
  <c r="X53" i="11" s="1"/>
  <c r="X57" i="11"/>
  <c r="Y82" i="11"/>
  <c r="F25" i="10"/>
  <c r="Y43" i="11"/>
  <c r="Z42" i="11"/>
  <c r="AA132" i="11"/>
  <c r="AA135" i="11" s="1"/>
  <c r="H24" i="10"/>
  <c r="S24" i="10"/>
  <c r="W54" i="11"/>
  <c r="V63" i="11"/>
  <c r="L22" i="10" s="1"/>
  <c r="J22" i="10"/>
  <c r="U62" i="11"/>
  <c r="W59" i="11"/>
  <c r="W60" i="11"/>
  <c r="W187" i="11"/>
  <c r="I22" i="10"/>
  <c r="V191" i="11"/>
  <c r="V199" i="11"/>
  <c r="R19" i="10"/>
  <c r="M19" i="10"/>
  <c r="V19" i="10" s="1"/>
  <c r="K20" i="10"/>
  <c r="T85" i="11"/>
  <c r="T87" i="11" s="1"/>
  <c r="T66" i="11"/>
  <c r="T67" i="11" s="1"/>
  <c r="O20" i="10" s="1"/>
  <c r="N193" i="11" l="1"/>
  <c r="O192" i="11" s="1"/>
  <c r="O195" i="11" s="1"/>
  <c r="N203" i="11"/>
  <c r="N201" i="11"/>
  <c r="O198" i="11" s="1"/>
  <c r="V62" i="11"/>
  <c r="K22" i="10" s="1"/>
  <c r="N19" i="10"/>
  <c r="S25" i="10"/>
  <c r="H25" i="10"/>
  <c r="J23" i="10"/>
  <c r="W63" i="11"/>
  <c r="L23" i="10" s="1"/>
  <c r="Y48" i="11"/>
  <c r="Y52" i="11" s="1"/>
  <c r="Y53" i="11" s="1"/>
  <c r="Y57" i="11"/>
  <c r="I23" i="10"/>
  <c r="K21" i="10"/>
  <c r="U85" i="11"/>
  <c r="U87" i="11" s="1"/>
  <c r="U66" i="11"/>
  <c r="U67" i="11" s="1"/>
  <c r="O21" i="10" s="1"/>
  <c r="AB132" i="11"/>
  <c r="AB135" i="11" s="1"/>
  <c r="AA42" i="11"/>
  <c r="X60" i="11"/>
  <c r="X187" i="11"/>
  <c r="X59" i="11"/>
  <c r="R20" i="10"/>
  <c r="M20" i="10"/>
  <c r="V20" i="10" s="1"/>
  <c r="Z82" i="11"/>
  <c r="F26" i="10"/>
  <c r="Z43" i="11"/>
  <c r="X54" i="11"/>
  <c r="W191" i="11"/>
  <c r="W199" i="11"/>
  <c r="O190" i="11" l="1"/>
  <c r="O193" i="11" s="1"/>
  <c r="O200" i="11"/>
  <c r="V66" i="11"/>
  <c r="V67" i="11" s="1"/>
  <c r="O22" i="10" s="1"/>
  <c r="V85" i="11"/>
  <c r="V87" i="11" s="1"/>
  <c r="W62" i="11"/>
  <c r="W66" i="11" s="1"/>
  <c r="X199" i="11"/>
  <c r="X191" i="11"/>
  <c r="S26" i="10"/>
  <c r="H26" i="10"/>
  <c r="AC132" i="11"/>
  <c r="AC135" i="11" s="1"/>
  <c r="AB42" i="11"/>
  <c r="N20" i="10"/>
  <c r="R22" i="10"/>
  <c r="M22" i="10"/>
  <c r="V22" i="10" s="1"/>
  <c r="AA43" i="11"/>
  <c r="AA82" i="11"/>
  <c r="Y187" i="11"/>
  <c r="Y59" i="11"/>
  <c r="Y60" i="11"/>
  <c r="I24" i="10"/>
  <c r="X63" i="11"/>
  <c r="L24" i="10" s="1"/>
  <c r="J24" i="10"/>
  <c r="Z57" i="11"/>
  <c r="Z48" i="11"/>
  <c r="Z52" i="11" s="1"/>
  <c r="Z53" i="11" s="1"/>
  <c r="R21" i="10"/>
  <c r="M21" i="10"/>
  <c r="V21" i="10" s="1"/>
  <c r="Y54" i="11"/>
  <c r="W67" i="11" l="1"/>
  <c r="O23" i="10" s="1"/>
  <c r="O203" i="11"/>
  <c r="O201" i="11"/>
  <c r="P198" i="11" s="1"/>
  <c r="K23" i="10"/>
  <c r="R23" i="10" s="1"/>
  <c r="W85" i="11"/>
  <c r="W87" i="11" s="1"/>
  <c r="P190" i="11"/>
  <c r="P200" i="11"/>
  <c r="P192" i="11"/>
  <c r="P195" i="11" s="1"/>
  <c r="X62" i="11"/>
  <c r="X85" i="11" s="1"/>
  <c r="X87" i="11" s="1"/>
  <c r="I25" i="10"/>
  <c r="AB82" i="11"/>
  <c r="AB43" i="11"/>
  <c r="Z54" i="11"/>
  <c r="Y199" i="11"/>
  <c r="Y191" i="11"/>
  <c r="AD132" i="11"/>
  <c r="AD135" i="11" s="1"/>
  <c r="AC42" i="11"/>
  <c r="AA57" i="11"/>
  <c r="AA48" i="11"/>
  <c r="AA52" i="11" s="1"/>
  <c r="AA53" i="11" s="1"/>
  <c r="Z59" i="11"/>
  <c r="Z187" i="11"/>
  <c r="Z60" i="11"/>
  <c r="N21" i="10"/>
  <c r="N22" i="10" s="1"/>
  <c r="Y63" i="11"/>
  <c r="L25" i="10" s="1"/>
  <c r="J25" i="10"/>
  <c r="M23" i="10" l="1"/>
  <c r="V23" i="10" s="1"/>
  <c r="P203" i="11"/>
  <c r="P201" i="11"/>
  <c r="Q198" i="11" s="1"/>
  <c r="P193" i="11"/>
  <c r="X66" i="11"/>
  <c r="X67" i="11" s="1"/>
  <c r="O24" i="10" s="1"/>
  <c r="K24" i="10"/>
  <c r="R24" i="10" s="1"/>
  <c r="Z199" i="11"/>
  <c r="Z191" i="11"/>
  <c r="I26" i="10"/>
  <c r="AB48" i="11"/>
  <c r="AB52" i="11" s="1"/>
  <c r="AB53" i="11" s="1"/>
  <c r="AB57" i="11"/>
  <c r="J26" i="10"/>
  <c r="Z63" i="11"/>
  <c r="L26" i="10" s="1"/>
  <c r="AA59" i="11"/>
  <c r="AA187" i="11"/>
  <c r="AA60" i="11"/>
  <c r="AA63" i="11" s="1"/>
  <c r="Y62" i="11"/>
  <c r="AC43" i="11"/>
  <c r="AC82" i="11"/>
  <c r="AA54" i="11"/>
  <c r="AE132" i="11"/>
  <c r="AE135" i="11" s="1"/>
  <c r="AD42" i="11"/>
  <c r="N23" i="10" l="1"/>
  <c r="Q200" i="11"/>
  <c r="Q192" i="11"/>
  <c r="Q195" i="11" s="1"/>
  <c r="Q190" i="11"/>
  <c r="M24" i="10"/>
  <c r="V24" i="10" s="1"/>
  <c r="AC48" i="11"/>
  <c r="AC52" i="11" s="1"/>
  <c r="AC53" i="11" s="1"/>
  <c r="AC57" i="11"/>
  <c r="Y85" i="11"/>
  <c r="Y87" i="11" s="1"/>
  <c r="K25" i="10"/>
  <c r="Y66" i="11"/>
  <c r="Y67" i="11" s="1"/>
  <c r="O25" i="10" s="1"/>
  <c r="AD82" i="11"/>
  <c r="AD43" i="11"/>
  <c r="AA199" i="11"/>
  <c r="AA191" i="11"/>
  <c r="AB187" i="11"/>
  <c r="AB60" i="11"/>
  <c r="AB63" i="11" s="1"/>
  <c r="AB59" i="11"/>
  <c r="AE42" i="11"/>
  <c r="AF132" i="11"/>
  <c r="AF135" i="11" s="1"/>
  <c r="AA62" i="11"/>
  <c r="AB54" i="11"/>
  <c r="Z62" i="11"/>
  <c r="Q193" i="11" l="1"/>
  <c r="Q203" i="11"/>
  <c r="Q201" i="11"/>
  <c r="R198" i="11" s="1"/>
  <c r="N24" i="10"/>
  <c r="R25" i="10"/>
  <c r="M25" i="10"/>
  <c r="AE82" i="11"/>
  <c r="AE43" i="11"/>
  <c r="AC60" i="11"/>
  <c r="AC63" i="11" s="1"/>
  <c r="AC187" i="11"/>
  <c r="AC59" i="11"/>
  <c r="AC54" i="11"/>
  <c r="AD57" i="11"/>
  <c r="AD48" i="11"/>
  <c r="AD52" i="11" s="1"/>
  <c r="AD53" i="11" s="1"/>
  <c r="AA85" i="11"/>
  <c r="AA87" i="11" s="1"/>
  <c r="AA66" i="11"/>
  <c r="AG132" i="11"/>
  <c r="AG135" i="11" s="1"/>
  <c r="AF42" i="11"/>
  <c r="AB62" i="11"/>
  <c r="K26" i="10"/>
  <c r="Z85" i="11"/>
  <c r="Z87" i="11" s="1"/>
  <c r="Z66" i="11"/>
  <c r="Z67" i="11" s="1"/>
  <c r="O26" i="10" s="1"/>
  <c r="AB191" i="11"/>
  <c r="AB199" i="11"/>
  <c r="R190" i="11" l="1"/>
  <c r="R192" i="11"/>
  <c r="R195" i="11" s="1"/>
  <c r="R200" i="11"/>
  <c r="R203" i="11" s="1"/>
  <c r="AC62" i="11"/>
  <c r="AC85" i="11" s="1"/>
  <c r="AC87" i="11" s="1"/>
  <c r="AA67" i="11"/>
  <c r="AB85" i="11"/>
  <c r="AB87" i="11" s="1"/>
  <c r="AB66" i="11"/>
  <c r="AB67" i="11" s="1"/>
  <c r="AF43" i="11"/>
  <c r="AF82" i="11"/>
  <c r="AH132" i="11"/>
  <c r="AH135" i="11" s="1"/>
  <c r="AG42" i="11"/>
  <c r="AC191" i="11"/>
  <c r="AC199" i="11"/>
  <c r="AE48" i="11"/>
  <c r="AE52" i="11" s="1"/>
  <c r="AE53" i="11" s="1"/>
  <c r="AE57" i="11"/>
  <c r="AD54" i="11"/>
  <c r="R26" i="10"/>
  <c r="M26" i="10"/>
  <c r="V26" i="10" s="1"/>
  <c r="AD187" i="11"/>
  <c r="AD59" i="11"/>
  <c r="AD60" i="11"/>
  <c r="AD63" i="11" s="1"/>
  <c r="V25" i="10"/>
  <c r="N25" i="10"/>
  <c r="R193" i="11" l="1"/>
  <c r="R201" i="11"/>
  <c r="S198" i="11" s="1"/>
  <c r="AC66" i="11"/>
  <c r="AC67" i="11" s="1"/>
  <c r="V28" i="10"/>
  <c r="AD191" i="11"/>
  <c r="AD199" i="11"/>
  <c r="AG82" i="11"/>
  <c r="AG43" i="11"/>
  <c r="AH42" i="11"/>
  <c r="AI132" i="11"/>
  <c r="AI135" i="11" s="1"/>
  <c r="N26" i="10"/>
  <c r="N27" i="10" s="1"/>
  <c r="N28" i="10" s="1"/>
  <c r="N29" i="10" s="1"/>
  <c r="N30" i="10" s="1"/>
  <c r="N31" i="10" s="1"/>
  <c r="N32" i="10" s="1"/>
  <c r="N33" i="10" s="1"/>
  <c r="N34" i="10" s="1"/>
  <c r="N35" i="10" s="1"/>
  <c r="N36" i="10" s="1"/>
  <c r="AF48" i="11"/>
  <c r="AF52" i="11" s="1"/>
  <c r="AF53" i="11" s="1"/>
  <c r="AF57" i="11"/>
  <c r="AE54" i="11"/>
  <c r="AD62" i="11"/>
  <c r="AE187" i="11"/>
  <c r="AE59" i="11"/>
  <c r="AE60" i="11"/>
  <c r="AE63" i="11" s="1"/>
  <c r="S192" i="11" l="1"/>
  <c r="S195" i="11" s="1"/>
  <c r="S190" i="11"/>
  <c r="S200" i="11"/>
  <c r="S203" i="11" s="1"/>
  <c r="AE62" i="11"/>
  <c r="AD85" i="11"/>
  <c r="AD87" i="11" s="1"/>
  <c r="AD66" i="11"/>
  <c r="AD67" i="11" s="1"/>
  <c r="AE191" i="11"/>
  <c r="AE199" i="11"/>
  <c r="AI42" i="11"/>
  <c r="AJ132" i="11"/>
  <c r="AJ135" i="11" s="1"/>
  <c r="AJ42" i="11" s="1"/>
  <c r="AH82" i="11"/>
  <c r="AH43" i="11"/>
  <c r="AF59" i="11"/>
  <c r="AF187" i="11"/>
  <c r="AF60" i="11"/>
  <c r="AF63" i="11" s="1"/>
  <c r="AF54" i="11"/>
  <c r="AG57" i="11"/>
  <c r="AG48" i="11"/>
  <c r="AG52" i="11" s="1"/>
  <c r="AG53" i="11" s="1"/>
  <c r="S193" i="11" l="1"/>
  <c r="T192" i="11" s="1"/>
  <c r="T195" i="11" s="1"/>
  <c r="S201" i="11"/>
  <c r="T198" i="11" s="1"/>
  <c r="AG60" i="11"/>
  <c r="AG63" i="11" s="1"/>
  <c r="AG187" i="11"/>
  <c r="AG59" i="11"/>
  <c r="AH48" i="11"/>
  <c r="AH52" i="11" s="1"/>
  <c r="AH53" i="11" s="1"/>
  <c r="AH57" i="11"/>
  <c r="AJ82" i="11"/>
  <c r="AJ43" i="11"/>
  <c r="AF191" i="11"/>
  <c r="AF199" i="11"/>
  <c r="AE85" i="11"/>
  <c r="AE87" i="11" s="1"/>
  <c r="AE66" i="11"/>
  <c r="AE67" i="11" s="1"/>
  <c r="AG54" i="11"/>
  <c r="AI43" i="11"/>
  <c r="AI82" i="11"/>
  <c r="AF62" i="11"/>
  <c r="T190" i="11" l="1"/>
  <c r="T193" i="11" s="1"/>
  <c r="T200" i="11"/>
  <c r="T203" i="11" s="1"/>
  <c r="AG62" i="11"/>
  <c r="AG85" i="11" s="1"/>
  <c r="AG87" i="11" s="1"/>
  <c r="AF85" i="11"/>
  <c r="AF87" i="11" s="1"/>
  <c r="AF66" i="11"/>
  <c r="AF67" i="11" s="1"/>
  <c r="D99" i="11"/>
  <c r="AH187" i="11"/>
  <c r="AH59" i="11"/>
  <c r="AH60" i="11"/>
  <c r="AH63" i="11" s="1"/>
  <c r="AJ48" i="11"/>
  <c r="AJ52" i="11" s="1"/>
  <c r="AJ53" i="11" s="1"/>
  <c r="AJ57" i="11"/>
  <c r="AI57" i="11"/>
  <c r="AI48" i="11"/>
  <c r="AI52" i="11" s="1"/>
  <c r="AI53" i="11" s="1"/>
  <c r="AH54" i="11"/>
  <c r="AG191" i="11"/>
  <c r="AG199" i="11"/>
  <c r="T201" i="11" l="1"/>
  <c r="U198" i="11" s="1"/>
  <c r="U190" i="11"/>
  <c r="U192" i="11"/>
  <c r="U195" i="11" s="1"/>
  <c r="U200" i="11"/>
  <c r="AG66" i="11"/>
  <c r="AG67" i="11" s="1"/>
  <c r="AH191" i="11"/>
  <c r="AH199" i="11"/>
  <c r="AI54" i="11"/>
  <c r="AH62" i="11"/>
  <c r="AI187" i="11"/>
  <c r="AI60" i="11"/>
  <c r="AI63" i="11" s="1"/>
  <c r="AI59" i="11"/>
  <c r="F38" i="19"/>
  <c r="F99" i="11"/>
  <c r="E38" i="19" s="1"/>
  <c r="AJ187" i="11"/>
  <c r="AJ60" i="11"/>
  <c r="AJ63" i="11" s="1"/>
  <c r="AJ59" i="11"/>
  <c r="AJ54" i="11"/>
  <c r="D69" i="11"/>
  <c r="U201" i="11" l="1"/>
  <c r="V198" i="11" s="1"/>
  <c r="U203" i="11"/>
  <c r="U193" i="11"/>
  <c r="AJ62" i="11"/>
  <c r="AJ85" i="11" s="1"/>
  <c r="AJ87" i="11" s="1"/>
  <c r="AI62" i="11"/>
  <c r="AI85" i="11" s="1"/>
  <c r="AI87" i="11" s="1"/>
  <c r="AI199" i="11"/>
  <c r="AI191" i="11"/>
  <c r="AH85" i="11"/>
  <c r="AH87" i="11" s="1"/>
  <c r="AH66" i="11"/>
  <c r="AH67" i="11" s="1"/>
  <c r="AJ191" i="11"/>
  <c r="AJ199" i="11"/>
  <c r="V192" i="11" l="1"/>
  <c r="V195" i="11" s="1"/>
  <c r="V190" i="11"/>
  <c r="V200" i="11"/>
  <c r="AJ66" i="11"/>
  <c r="D102" i="11"/>
  <c r="F42" i="19" s="1"/>
  <c r="AI66" i="11"/>
  <c r="AI67" i="11" s="1"/>
  <c r="V193" i="11" l="1"/>
  <c r="W190" i="11" s="1"/>
  <c r="V203" i="11"/>
  <c r="V201" i="11"/>
  <c r="W198" i="11" s="1"/>
  <c r="D71" i="11"/>
  <c r="X123" i="7" s="1"/>
  <c r="AJ67" i="11"/>
  <c r="D70" i="11"/>
  <c r="X122" i="7" s="1"/>
  <c r="D103" i="11"/>
  <c r="F43" i="19" s="1"/>
  <c r="F102" i="11"/>
  <c r="E42" i="19" s="1"/>
  <c r="W200" i="11" l="1"/>
  <c r="W203" i="11" s="1"/>
  <c r="W192" i="11"/>
  <c r="W195" i="11" s="1"/>
  <c r="D72" i="11"/>
  <c r="V175" i="7" s="1"/>
  <c r="Q31" i="18" s="1"/>
  <c r="G81" i="7"/>
  <c r="X133" i="7"/>
  <c r="D61" i="9" s="1"/>
  <c r="F103" i="11"/>
  <c r="F104" i="11" s="1"/>
  <c r="E45" i="19" s="1"/>
  <c r="T7" i="10" s="1"/>
  <c r="D104" i="11"/>
  <c r="F45" i="19" s="1"/>
  <c r="D50" i="9"/>
  <c r="F23" i="19"/>
  <c r="D51" i="9"/>
  <c r="F24" i="19"/>
  <c r="W193" i="11" l="1"/>
  <c r="X190" i="11" s="1"/>
  <c r="W201" i="11"/>
  <c r="X198" i="11" s="1"/>
  <c r="AA148" i="7"/>
  <c r="V4" i="18" s="1"/>
  <c r="X124" i="7"/>
  <c r="D52" i="9" s="1"/>
  <c r="V157" i="7"/>
  <c r="Q13" i="18" s="1"/>
  <c r="V166" i="7"/>
  <c r="Q22" i="18" s="1"/>
  <c r="AA167" i="7"/>
  <c r="V23" i="18" s="1"/>
  <c r="V184" i="7"/>
  <c r="Q40" i="18" s="1"/>
  <c r="V148" i="7"/>
  <c r="Q4" i="18" s="1"/>
  <c r="W200" i="7"/>
  <c r="AA158" i="7"/>
  <c r="V14" i="18" s="1"/>
  <c r="E43" i="19"/>
  <c r="T8" i="10"/>
  <c r="U7" i="10"/>
  <c r="X200" i="11" l="1"/>
  <c r="X192" i="11"/>
  <c r="F25" i="19"/>
  <c r="U8" i="10"/>
  <c r="T9" i="10"/>
  <c r="X195" i="11" l="1"/>
  <c r="X193" i="11"/>
  <c r="X203" i="11"/>
  <c r="X201" i="11"/>
  <c r="Y198" i="11" s="1"/>
  <c r="U9" i="10"/>
  <c r="T10" i="10"/>
  <c r="Y192" i="11" l="1"/>
  <c r="Y195" i="11" s="1"/>
  <c r="Y200" i="11"/>
  <c r="Y203" i="11" s="1"/>
  <c r="Y190" i="11"/>
  <c r="U10" i="10"/>
  <c r="T11" i="10"/>
  <c r="Y193" i="11" l="1"/>
  <c r="Z192" i="11" s="1"/>
  <c r="Z195" i="11" s="1"/>
  <c r="Y201" i="11"/>
  <c r="Z198" i="11" s="1"/>
  <c r="U11" i="10"/>
  <c r="T12" i="10"/>
  <c r="Z200" i="11" l="1"/>
  <c r="Z203" i="11" s="1"/>
  <c r="Z190" i="11"/>
  <c r="Z193" i="11" s="1"/>
  <c r="U12" i="10"/>
  <c r="T13" i="10"/>
  <c r="AA190" i="11" l="1"/>
  <c r="AA192" i="11"/>
  <c r="AA195" i="11" s="1"/>
  <c r="AA200" i="11"/>
  <c r="AA203" i="11" s="1"/>
  <c r="Z201" i="11"/>
  <c r="AA198" i="11" s="1"/>
  <c r="T14" i="10"/>
  <c r="U13" i="10"/>
  <c r="AA201" i="11" l="1"/>
  <c r="AB198" i="11" s="1"/>
  <c r="AA193" i="11"/>
  <c r="U14" i="10"/>
  <c r="T15" i="10"/>
  <c r="AB190" i="11" l="1"/>
  <c r="AB192" i="11"/>
  <c r="AB195" i="11" s="1"/>
  <c r="AB200" i="11"/>
  <c r="T16" i="10"/>
  <c r="U15" i="10"/>
  <c r="AB193" i="11" l="1"/>
  <c r="AC190" i="11" s="1"/>
  <c r="AB203" i="11"/>
  <c r="AB201" i="11"/>
  <c r="AC198" i="11" s="1"/>
  <c r="AC192" i="11"/>
  <c r="AC195" i="11" s="1"/>
  <c r="AC200" i="11"/>
  <c r="AC203" i="11" s="1"/>
  <c r="U16" i="10"/>
  <c r="T17" i="10"/>
  <c r="AC193" i="11" l="1"/>
  <c r="AC201" i="11"/>
  <c r="AD198" i="11" s="1"/>
  <c r="U17" i="10"/>
  <c r="T18" i="10"/>
  <c r="AD190" i="11" l="1"/>
  <c r="AD200" i="11"/>
  <c r="AD203" i="11" s="1"/>
  <c r="AD192" i="11"/>
  <c r="AD195" i="11" s="1"/>
  <c r="U18" i="10"/>
  <c r="T19" i="10"/>
  <c r="AD193" i="11" l="1"/>
  <c r="AD201" i="11"/>
  <c r="AE198" i="11" s="1"/>
  <c r="U19" i="10"/>
  <c r="T20" i="10"/>
  <c r="AE190" i="11" l="1"/>
  <c r="AE192" i="11"/>
  <c r="AE195" i="11" s="1"/>
  <c r="AE200" i="11"/>
  <c r="AE203" i="11" s="1"/>
  <c r="U20" i="10"/>
  <c r="T21" i="10"/>
  <c r="AE193" i="11" l="1"/>
  <c r="AE201" i="11"/>
  <c r="AF198" i="11" s="1"/>
  <c r="U21" i="10"/>
  <c r="T22" i="10"/>
  <c r="AF190" i="11" l="1"/>
  <c r="AF192" i="11"/>
  <c r="AF195" i="11" s="1"/>
  <c r="AF200" i="11"/>
  <c r="AF203" i="11" s="1"/>
  <c r="T23" i="10"/>
  <c r="U22" i="10"/>
  <c r="AF193" i="11" l="1"/>
  <c r="AG190" i="11" s="1"/>
  <c r="AF201" i="11"/>
  <c r="AG198" i="11" s="1"/>
  <c r="T24" i="10"/>
  <c r="U23" i="10"/>
  <c r="AG200" i="11" l="1"/>
  <c r="AG203" i="11" s="1"/>
  <c r="AG192" i="11"/>
  <c r="AG195" i="11" s="1"/>
  <c r="U24" i="10"/>
  <c r="T25" i="10"/>
  <c r="AG201" i="11" l="1"/>
  <c r="AH198" i="11" s="1"/>
  <c r="AG193" i="11"/>
  <c r="T26" i="10"/>
  <c r="U25" i="10"/>
  <c r="AH190" i="11" l="1"/>
  <c r="AH192" i="11"/>
  <c r="AH195" i="11" s="1"/>
  <c r="AH200" i="11"/>
  <c r="U26" i="10"/>
  <c r="U28" i="10" s="1"/>
  <c r="T28" i="10"/>
  <c r="AH193" i="11" l="1"/>
  <c r="AI190" i="11" s="1"/>
  <c r="AH203" i="11"/>
  <c r="AH201" i="11"/>
  <c r="AI198" i="11" s="1"/>
  <c r="AI200" i="11"/>
  <c r="AI203" i="11" s="1"/>
  <c r="AI192" i="11"/>
  <c r="AI195" i="11" s="1"/>
  <c r="AI201" i="11" l="1"/>
  <c r="AJ198" i="11" s="1"/>
  <c r="AI193" i="11"/>
  <c r="AJ190" i="11" l="1"/>
  <c r="AJ192" i="11"/>
  <c r="AJ195" i="11" s="1"/>
  <c r="AJ200" i="11"/>
  <c r="AJ203" i="11" s="1"/>
  <c r="AJ193" i="11" l="1"/>
  <c r="AJ201"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Tyler Leeds</author>
    <author>Jason Gifford</author>
  </authors>
  <commentList>
    <comment ref="G4" authorId="0" shapeId="0" xr:uid="{9AEA2C97-8FAD-4436-A08E-0554E6437B05}">
      <text>
        <r>
          <rPr>
            <b/>
            <sz val="14"/>
            <color indexed="81"/>
            <rFont val="Tahoma"/>
            <family val="2"/>
          </rPr>
          <t>Note:</t>
        </r>
        <r>
          <rPr>
            <sz val="14"/>
            <color indexed="81"/>
            <rFont val="Tahoma"/>
            <family val="2"/>
          </rPr>
          <t xml:space="preserve">
Enter the amount of liquid manure you have calculated in your manure management plan.  A lactating dairy cow will excrete around 20 gallons of manure/day.  A dry cow excretes around 11 gallons while a heifer excretes around 6 gallons/day. </t>
        </r>
      </text>
    </comment>
    <comment ref="G6" authorId="0" shapeId="0" xr:uid="{0C8068C9-8989-4618-A4BF-443939F19E67}">
      <text>
        <r>
          <rPr>
            <b/>
            <sz val="14"/>
            <color indexed="81"/>
            <rFont val="Tahoma"/>
            <family val="2"/>
          </rPr>
          <t>Note:</t>
        </r>
        <r>
          <rPr>
            <sz val="14"/>
            <color indexed="81"/>
            <rFont val="Tahoma"/>
            <family val="2"/>
          </rPr>
          <t xml:space="preserve">
tons per year of food waste accepted for adding to the digester
</t>
        </r>
      </text>
    </comment>
    <comment ref="G8" authorId="1" shapeId="0" xr:uid="{00000000-0006-0000-0100-00000C000000}">
      <text>
        <r>
          <rPr>
            <b/>
            <sz val="14"/>
            <color indexed="81"/>
            <rFont val="Tahoma"/>
            <family val="2"/>
          </rPr>
          <t>NOTE:</t>
        </r>
        <r>
          <rPr>
            <sz val="14"/>
            <color indexed="81"/>
            <rFont val="Tahoma"/>
            <family val="2"/>
          </rPr>
          <t xml:space="preserve">
The electricity rate will depend on the type of contract and how much of the electricity is used on the farm vs. sold back to the grid.</t>
        </r>
      </text>
    </comment>
    <comment ref="G9" authorId="0" shapeId="0" xr:uid="{00000000-0006-0000-0100-000014000000}">
      <text>
        <r>
          <rPr>
            <b/>
            <sz val="14"/>
            <color indexed="81"/>
            <rFont val="Tahoma"/>
            <family val="2"/>
          </rPr>
          <t>Note:</t>
        </r>
        <r>
          <rPr>
            <sz val="14"/>
            <color indexed="81"/>
            <rFont val="Tahoma"/>
            <family val="2"/>
          </rPr>
          <t xml:space="preserve">
This value will be site specific.
</t>
        </r>
      </text>
    </comment>
    <comment ref="G11" authorId="1" shapeId="0" xr:uid="{226E8C75-BF30-4F0E-A555-DC48AB7DEF38}">
      <text>
        <r>
          <rPr>
            <b/>
            <sz val="14"/>
            <color indexed="81"/>
            <rFont val="Tahoma"/>
            <family val="2"/>
          </rPr>
          <t xml:space="preserve">Note:
</t>
        </r>
        <r>
          <rPr>
            <sz val="14"/>
            <color indexed="81"/>
            <rFont val="Tahoma"/>
            <family val="2"/>
          </rPr>
          <t xml:space="preserve"> 
Land that would benefit from the nutrients in the digestate and is available</t>
        </r>
      </text>
    </comment>
    <comment ref="G12" authorId="1" shapeId="0" xr:uid="{C4684741-448D-4EFD-859F-DC08747FC333}">
      <text>
        <r>
          <rPr>
            <b/>
            <sz val="14"/>
            <color indexed="81"/>
            <rFont val="Tahoma"/>
            <family val="2"/>
          </rPr>
          <t xml:space="preserve">Note:
</t>
        </r>
        <r>
          <rPr>
            <sz val="14"/>
            <color indexed="81"/>
            <rFont val="Tahoma"/>
            <family val="2"/>
          </rPr>
          <t>The number of applications/year becomes important for accounting for the P and K crop needs in relation to the P and K that needs to be land-applied/year.  The manure or digestate is assumed to be land-applied at an N-based rate, such as 140 lb/acre/year.  Double-cropped acres are assumed to be fertilized for each crop, so these acres are fertilized at 140 lb * 2 = 280 lb/acre/year.</t>
        </r>
      </text>
    </comment>
    <comment ref="G27" authorId="0" shapeId="0" xr:uid="{A87E8544-6C18-4337-B310-E480EDBB0842}">
      <text>
        <r>
          <rPr>
            <b/>
            <sz val="14"/>
            <color indexed="81"/>
            <rFont val="Tahoma"/>
            <family val="2"/>
          </rPr>
          <t>Note:</t>
        </r>
        <r>
          <rPr>
            <sz val="14"/>
            <color indexed="81"/>
            <rFont val="Tahoma"/>
            <family val="2"/>
          </rPr>
          <t xml:space="preserve">
These results are expressed as net present values and annualized net present values.  These values are transferred over from the Detailed_Cash_Flow sheet.  The formulas underlying these results can be viewed there.  The after-tax cash flows over the project life are summarized as net present values (NPV) discounted at the weighted average cost of capital (WAAC).  The WAAC is an average of the interest rate on term debt and the target after-tax rate of return on equity capital.  Those two rates are entered in the Key Inputs sheet.
The NPV, however, is a lump sum that may be difficult to interpret for those who are accustomed to seeing economic data on an annual or other periodic basis.  For improved clarity, the NPVs are also “annualized” to an annual basis akin to a mortgage payment, compounded at the WAAC.  Essentially, this “smooths out” the actual cash flows, which may vary year to year, to equivalent constant flows.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Jason Gifford</author>
    <author>Tyler Leeds</author>
  </authors>
  <commentList>
    <comment ref="C4" authorId="0" shapeId="0" xr:uid="{00000000-0006-0000-0100-000001000000}">
      <text>
        <r>
          <rPr>
            <sz val="14"/>
            <color indexed="81"/>
            <rFont val="Tahoma"/>
            <family val="2"/>
          </rPr>
          <t xml:space="preserve">The "Check" column evaluates whether or not values have been enterred in all required fields.  Green denotes an accepted entry in a required field or a calculation for which the minimum required precedents have been satisfied.  Red denotes the absence of an entry in a required field, or a calculation for which the minimum required precendents have NOT been satisfied.
</t>
        </r>
        <r>
          <rPr>
            <b/>
            <sz val="14"/>
            <color indexed="81"/>
            <rFont val="Tahoma"/>
            <family val="2"/>
          </rPr>
          <t>Please note</t>
        </r>
        <r>
          <rPr>
            <sz val="14"/>
            <color indexed="81"/>
            <rFont val="Tahoma"/>
            <family val="2"/>
          </rPr>
          <t xml:space="preserve"> that while the "Check" column ensures the population of all required fields, this column does NOT validate the magnitude of such entries.  It is the model user's responsibility to provide inputs which accurately represent the project being modeled.  In some cases, a range of typical values for a specified input are provided in that input's "Notes" cell.</t>
        </r>
      </text>
    </comment>
    <comment ref="F6" authorId="0" shapeId="0" xr:uid="{3FE8C0C1-25EF-472A-B1AD-A4E5670C1E05}">
      <text>
        <r>
          <rPr>
            <b/>
            <sz val="8"/>
            <color indexed="81"/>
            <rFont val="Tahoma"/>
            <family val="2"/>
          </rPr>
          <t>See "unit" definitions at the bottom of this worksheet.</t>
        </r>
        <r>
          <rPr>
            <sz val="8"/>
            <color indexed="81"/>
            <rFont val="Tahoma"/>
            <family val="2"/>
          </rPr>
          <t xml:space="preserve">
</t>
        </r>
      </text>
    </comment>
    <comment ref="H6" authorId="0" shapeId="0" xr:uid="{618DFE7D-B4B3-4E0A-9726-D89CDECAE98D}">
      <text>
        <r>
          <rPr>
            <sz val="14"/>
            <color indexed="81"/>
            <rFont val="Tahoma"/>
            <family val="2"/>
          </rPr>
          <t xml:space="preserve">Each cell in the "Notes" column provides a brief description of the input in the corresponding row, its application within the model, and (in some cases) the range of values that might be expected to populate that  input cell.  It is the model user's responsibility, however, to research and validate the applicability of, and appropriate value for, each input.
</t>
        </r>
        <r>
          <rPr>
            <sz val="8"/>
            <color indexed="81"/>
            <rFont val="Tahoma"/>
            <family val="2"/>
          </rPr>
          <t xml:space="preserve">
</t>
        </r>
      </text>
    </comment>
    <comment ref="L6" authorId="0" shapeId="0" xr:uid="{00000000-0006-0000-0100-000003000000}">
      <text>
        <r>
          <rPr>
            <sz val="14"/>
            <color indexed="81"/>
            <rFont val="Tahoma"/>
            <family val="2"/>
          </rPr>
          <t xml:space="preserve">The "Check" column evaluates whether or not values have been enterred in all required fields.  Green denotes an accepted entry in a required field or a calculation for which the minimum required precedents have been satisfied.  Red denotes the absence of an entry in a required field, or a calculation for which the minimum required precendents have NOT been satisfied.
</t>
        </r>
        <r>
          <rPr>
            <b/>
            <sz val="14"/>
            <color indexed="81"/>
            <rFont val="Tahoma"/>
            <family val="2"/>
          </rPr>
          <t>Please note</t>
        </r>
        <r>
          <rPr>
            <sz val="14"/>
            <color indexed="81"/>
            <rFont val="Tahoma"/>
            <family val="2"/>
          </rPr>
          <t xml:space="preserve"> that while the "Check" column ensures the population of all required fields, this column does NOT validate the magnitude of such entries.  It is the model user's responsibility to provide inputs which accurately represent the project being modeled.  In some cases, a range of typical values for a specified input are provided in that input's "Notes" cell.</t>
        </r>
      </text>
    </comment>
    <comment ref="Q6" authorId="0" shapeId="0" xr:uid="{47932DF2-89B9-42B4-93E1-03B5FA207088}">
      <text>
        <r>
          <rPr>
            <sz val="14"/>
            <color indexed="81"/>
            <rFont val="Tahoma"/>
            <family val="2"/>
          </rPr>
          <t xml:space="preserve">Each cell in the "Notes" column provides a brief description of the input in the corresponding row, its application within the model, and (in some cases) the range of values that might be expected to populate that  input cell.  It is the model user's responsibility, however, to research and validate the applicability of, and appropriate value for, each input.
</t>
        </r>
        <r>
          <rPr>
            <sz val="8"/>
            <color indexed="81"/>
            <rFont val="Tahoma"/>
            <family val="2"/>
          </rPr>
          <t xml:space="preserve">
</t>
        </r>
      </text>
    </comment>
    <comment ref="U6" authorId="0" shapeId="0" xr:uid="{00000000-0006-0000-0100-000004000000}">
      <text>
        <r>
          <rPr>
            <sz val="14"/>
            <color indexed="81"/>
            <rFont val="Tahoma"/>
            <family val="2"/>
          </rPr>
          <t>Each cell in the "Notes" column provides a brief description of the input in the corresponding row, its application within the model, and (in some cases) the range of values that might be expected to populate that  input cell. It is the model user's responsibility, however, to research and validate the applicability of, and appropriate value for, each input.</t>
        </r>
        <r>
          <rPr>
            <sz val="8"/>
            <color indexed="81"/>
            <rFont val="Tahoma"/>
            <family val="2"/>
          </rPr>
          <t xml:space="preserve">
</t>
        </r>
      </text>
    </comment>
    <comment ref="H9" authorId="1" shapeId="0" xr:uid="{0FF6B870-AF7A-484B-B04B-4945E5F77605}">
      <text>
        <r>
          <rPr>
            <b/>
            <sz val="14"/>
            <color indexed="81"/>
            <rFont val="Tahoma"/>
            <family val="2"/>
          </rPr>
          <t>Note:</t>
        </r>
        <r>
          <rPr>
            <sz val="14"/>
            <color indexed="81"/>
            <rFont val="Tahoma"/>
            <family val="2"/>
          </rPr>
          <t xml:space="preserve">
This is the aggregate nameplate rating for the entire generating facility.
Input must be greater than zero.
This value will be site specific but reasonable inputs are likely to fall in the range of 100-1,000 kW.</t>
        </r>
      </text>
    </comment>
    <comment ref="H11" authorId="1" shapeId="0" xr:uid="{A6EF864D-73A9-4DE1-80D9-74787437AA3E}">
      <text>
        <r>
          <rPr>
            <b/>
            <sz val="14"/>
            <color indexed="81"/>
            <rFont val="Tahoma"/>
            <family val="2"/>
          </rPr>
          <t>Note:</t>
        </r>
        <r>
          <rPr>
            <sz val="14"/>
            <color indexed="81"/>
            <rFont val="Tahoma"/>
            <family val="2"/>
          </rPr>
          <t xml:space="preserve">
If the required biogas is less than amount generated, the generator will run at less than the nameplate capacity.
</t>
        </r>
      </text>
    </comment>
    <comment ref="Q11" authorId="0" shapeId="0" xr:uid="{187907A6-6756-4582-927C-67E722AC95E4}">
      <text>
        <r>
          <rPr>
            <b/>
            <sz val="14"/>
            <color indexed="81"/>
            <rFont val="Tahoma"/>
            <family val="2"/>
          </rPr>
          <t xml:space="preserve">Note:
</t>
        </r>
        <r>
          <rPr>
            <sz val="14"/>
            <color indexed="81"/>
            <rFont val="Tahoma"/>
            <family val="2"/>
          </rPr>
          <t xml:space="preserve">Enter a value here if the waste heat from the engine is used to replace utilities or fuel that would have been purchased.
</t>
        </r>
      </text>
    </comment>
    <comment ref="H14" authorId="0" shapeId="0" xr:uid="{00000000-0006-0000-0100-000015000000}">
      <text>
        <r>
          <rPr>
            <b/>
            <sz val="14"/>
            <color indexed="81"/>
            <rFont val="Tahoma"/>
            <family val="2"/>
          </rPr>
          <t>NOTE:</t>
        </r>
        <r>
          <rPr>
            <sz val="14"/>
            <color indexed="81"/>
            <rFont val="Tahoma"/>
            <family val="2"/>
          </rPr>
          <t xml:space="preserve">
The 'availability factor' represents the percentage of annual hours in which the generator is operational and available to deliver electricity to the gris (or on-site host). 
This value will be site specific but reasonable inputs are likely to fall in the range of 85-95%</t>
        </r>
      </text>
    </comment>
    <comment ref="Q14" authorId="0" shapeId="0" xr:uid="{00000000-0006-0000-0100-000037000000}">
      <text>
        <r>
          <rPr>
            <b/>
            <sz val="14"/>
            <color indexed="81"/>
            <rFont val="Tahoma"/>
            <family val="2"/>
          </rPr>
          <t xml:space="preserve">Note:
</t>
        </r>
        <r>
          <rPr>
            <sz val="14"/>
            <color indexed="81"/>
            <rFont val="Tahoma"/>
            <family val="2"/>
          </rPr>
          <t>This drop-down input cell allows the user to specify whether federal incentives are cost-based (e.g. an investment tax credit) or performance-based (e.g. a PTC). The magnitude and terms of these incentives are set in the cells below.
For more information, a useful resource for researching federal and state incentives online is:  
http://dsireusa.org/
*See bottom of introduction page for a list of links</t>
        </r>
      </text>
    </comment>
    <comment ref="H15" authorId="0" shapeId="0" xr:uid="{00000000-0006-0000-0100-00000B000000}">
      <text>
        <r>
          <rPr>
            <b/>
            <sz val="14"/>
            <color indexed="81"/>
            <rFont val="Tahoma"/>
            <family val="2"/>
          </rPr>
          <t>NOTE:</t>
        </r>
        <r>
          <rPr>
            <sz val="14"/>
            <color indexed="81"/>
            <rFont val="Tahoma"/>
            <family val="2"/>
          </rPr>
          <t xml:space="preserve">
This is the daily value multiplied by 365.</t>
        </r>
      </text>
    </comment>
    <comment ref="Q15" authorId="1" shapeId="0" xr:uid="{00000000-0006-0000-0100-000039000000}">
      <text>
        <r>
          <rPr>
            <b/>
            <sz val="14"/>
            <color indexed="81"/>
            <rFont val="Tahoma"/>
            <family val="2"/>
          </rPr>
          <t xml:space="preserve">Note:
</t>
        </r>
        <r>
          <rPr>
            <sz val="14"/>
            <color indexed="81"/>
            <rFont val="Tahoma"/>
            <family val="2"/>
          </rPr>
          <t>Some renewable energy projects may be eligible to take advantage of Federal incentives such as the Investment Tax Credit or a cash payment from the Treasury Grant in lieu of the ITC (under Section 1603). 
The model assumes that the ITC or Section 1603 cash grant, as applicable, flows to the project's equity provider in the first commercial operation year - rather than reducing the project's assumed initial installed cost.  The exception to this rule occurs when "carried forward" is selected in the Tax section.  In this case, net operating losses are rolled forward while the tax benefits are used internally by the project.
Information on eligibility for funding opportunities such as these is available online at:
http://dsireusa.org/incentives/incentive.cfm?Incentive_Code=US02F&amp;re=1&amp;ee=1
*See bottom of introduction page for a list of links</t>
        </r>
        <r>
          <rPr>
            <b/>
            <sz val="14"/>
            <color indexed="81"/>
            <rFont val="Tahoma"/>
            <family val="2"/>
          </rPr>
          <t xml:space="preserve">
</t>
        </r>
        <r>
          <rPr>
            <sz val="14"/>
            <color indexed="81"/>
            <rFont val="Tahoma"/>
            <family val="2"/>
          </rPr>
          <t xml:space="preserve">
</t>
        </r>
      </text>
    </comment>
    <comment ref="H16" authorId="0" shapeId="0" xr:uid="{00000000-0006-0000-0100-00000D000000}">
      <text>
        <r>
          <rPr>
            <b/>
            <sz val="14"/>
            <color indexed="81"/>
            <rFont val="Tahoma"/>
            <family val="2"/>
          </rPr>
          <t>NOTE:</t>
        </r>
        <r>
          <rPr>
            <sz val="14"/>
            <color indexed="81"/>
            <rFont val="Tahoma"/>
            <family val="2"/>
          </rPr>
          <t xml:space="preserve">
The energy content in biogas varies based on methane content.  An input of 600 BTU per cubic foot assumes a 60% methane content
This value will be site specific but reasonable inputs are likely to fall in the range of 450-650 BTU/cubic foot</t>
        </r>
      </text>
    </comment>
    <comment ref="Q16" authorId="0" shapeId="0" xr:uid="{00000000-0006-0000-0100-00003B000000}">
      <text>
        <r>
          <rPr>
            <b/>
            <sz val="14"/>
            <color indexed="81"/>
            <rFont val="Tahoma"/>
            <family val="2"/>
          </rPr>
          <t xml:space="preserve">NOTE:
</t>
        </r>
        <r>
          <rPr>
            <sz val="14"/>
            <color indexed="81"/>
            <rFont val="Tahoma"/>
            <family val="2"/>
          </rPr>
          <t xml:space="preserve">The maximum potential Investment Tax Credit (ITC) benefit is assumed to be 30% of those project costs which are depreciable on the 5-year MACRS schedule.  This 'eligible costs' assumption is purposefully simplified for this analysis.  Project costs depreciated on other bases may also be eligible for the ITC.  Developers should consult with tax counsel for project-specific depreciation and ITC treatment of each project cost.
</t>
        </r>
        <r>
          <rPr>
            <sz val="8"/>
            <color indexed="81"/>
            <rFont val="Tahoma"/>
            <family val="2"/>
          </rPr>
          <t xml:space="preserve">
</t>
        </r>
      </text>
    </comment>
    <comment ref="H17" authorId="0" shapeId="0" xr:uid="{00000000-0006-0000-0100-00000F000000}">
      <text>
        <r>
          <rPr>
            <b/>
            <sz val="14"/>
            <color indexed="81"/>
            <rFont val="Tahoma"/>
            <family val="2"/>
          </rPr>
          <t>NOTE:</t>
        </r>
        <r>
          <rPr>
            <sz val="14"/>
            <color indexed="81"/>
            <rFont val="Tahoma"/>
            <family val="2"/>
          </rPr>
          <t xml:space="preserve">
Energy content per year, based on gas consumption and methane concentration.</t>
        </r>
      </text>
    </comment>
    <comment ref="H18" authorId="0" shapeId="0" xr:uid="{00000000-0006-0000-0100-000011000000}">
      <text>
        <r>
          <rPr>
            <b/>
            <sz val="14"/>
            <color indexed="81"/>
            <rFont val="Tahoma"/>
            <family val="2"/>
          </rPr>
          <t>NOTE:</t>
        </r>
        <r>
          <rPr>
            <sz val="14"/>
            <color indexed="81"/>
            <rFont val="Tahoma"/>
            <family val="2"/>
          </rPr>
          <t xml:space="preserve">
Engines are not 100% efficient.  This input represents the efficiency with which the engine converts fuel to electricity. 
See the Waste Heat inputs to the right for taking the additional useable heat and potential revenue into account.
This value will be site specific but reasonable inputs are likely to fall in the range of 30-42%</t>
        </r>
      </text>
    </comment>
    <comment ref="Q18" authorId="0" shapeId="0" xr:uid="{00000000-0006-0000-0100-00003E000000}">
      <text>
        <r>
          <rPr>
            <b/>
            <sz val="14"/>
            <color indexed="81"/>
            <rFont val="Tahoma"/>
            <family val="2"/>
          </rPr>
          <t xml:space="preserve">Note:
</t>
        </r>
        <r>
          <rPr>
            <sz val="14"/>
            <color indexed="81"/>
            <rFont val="Tahoma"/>
            <family val="2"/>
          </rPr>
          <t xml:space="preserve">Calculates the dollar value of the Investment Tax Credit or Cash Grant, if applicable.
</t>
        </r>
      </text>
    </comment>
    <comment ref="H19" authorId="0" shapeId="0" xr:uid="{00000000-0006-0000-0100-000013000000}">
      <text>
        <r>
          <rPr>
            <b/>
            <sz val="14"/>
            <color indexed="81"/>
            <rFont val="Tahoma"/>
            <family val="2"/>
          </rPr>
          <t>NOTE:</t>
        </r>
        <r>
          <rPr>
            <sz val="14"/>
            <color indexed="81"/>
            <rFont val="Tahoma"/>
            <family val="2"/>
          </rPr>
          <t xml:space="preserve">
Heat rate is a measurement used to represent generator efficiency.  Heat rate is typically expressed as the number of BTUs of heat required to produce one kWh of electricity.</t>
        </r>
      </text>
    </comment>
    <comment ref="H20" authorId="0" shapeId="0" xr:uid="{00000000-0006-0000-0100-000017000000}">
      <text>
        <r>
          <rPr>
            <b/>
            <sz val="14"/>
            <color indexed="81"/>
            <rFont val="Tahoma"/>
            <family val="2"/>
          </rPr>
          <t>NOTE:</t>
        </r>
        <r>
          <rPr>
            <sz val="14"/>
            <color indexed="81"/>
            <rFont val="Tahoma"/>
            <family val="2"/>
          </rPr>
          <t xml:space="preserve">
Station service is the electricity used in the operation of the power plant itself -- and is therefore subtracted from total production in order to calculate electricity available for sale, whether it be to the grid or to an on-site host.
Station service is also referred to as parasitic load.
This value will be site specific but reasonable inputs are likely to fall in the range of 3-17%</t>
        </r>
      </text>
    </comment>
    <comment ref="Q20" authorId="0" shapeId="0" xr:uid="{00000000-0006-0000-0100-000042000000}">
      <text>
        <r>
          <rPr>
            <b/>
            <sz val="14"/>
            <color indexed="81"/>
            <rFont val="Tahoma"/>
            <family val="2"/>
          </rPr>
          <t xml:space="preserve">Note: </t>
        </r>
        <r>
          <rPr>
            <sz val="14"/>
            <color indexed="81"/>
            <rFont val="Tahoma"/>
            <family val="2"/>
          </rPr>
          <t xml:space="preserve">
This cell denotes the value of the Performance Based Incentive applicable to the project's first year of commercial operation. In some cases, this value will need to be calculated external to the model if such PBI is derived from a "base year" and specified inflation index. The following cells can be used to account for inflation and the maximum term of eligibility.
Input cannot be less than zero.
</t>
        </r>
      </text>
    </comment>
    <comment ref="H21" authorId="1" shapeId="0" xr:uid="{00000000-0006-0000-0100-000019000000}">
      <text>
        <r>
          <rPr>
            <b/>
            <sz val="14"/>
            <color indexed="81"/>
            <rFont val="Tahoma"/>
            <family val="2"/>
          </rPr>
          <t>Note:</t>
        </r>
        <r>
          <rPr>
            <sz val="14"/>
            <color indexed="81"/>
            <rFont val="Tahoma"/>
            <family val="2"/>
          </rPr>
          <t xml:space="preserve">
This is a calculation, based on the system size and capacity factor provided above. 
</t>
        </r>
      </text>
    </comment>
    <comment ref="Q21" authorId="0" shapeId="0" xr:uid="{00000000-0006-0000-0100-000045000000}">
      <text>
        <r>
          <rPr>
            <b/>
            <sz val="14"/>
            <color indexed="81"/>
            <rFont val="Tahoma"/>
            <family val="2"/>
          </rPr>
          <t>Note:</t>
        </r>
        <r>
          <rPr>
            <sz val="14"/>
            <color indexed="81"/>
            <rFont val="Tahoma"/>
            <family val="2"/>
          </rPr>
          <t xml:space="preserve">
This is the length of time that a project would be eligible for any Performance Based Incentives outlined in the cell immediately above. For example, the Federal Renewable Energy Production Incentive and Production Tax Credit incentives are available for the first 10 years of project operation.
Input cannot be less than zero.
</t>
        </r>
      </text>
    </comment>
    <comment ref="Q22" authorId="0" shapeId="0" xr:uid="{00000000-0006-0000-0100-000047000000}">
      <text>
        <r>
          <rPr>
            <b/>
            <sz val="14"/>
            <color indexed="81"/>
            <rFont val="Tahoma"/>
            <family val="2"/>
          </rPr>
          <t xml:space="preserve">Note:
</t>
        </r>
        <r>
          <rPr>
            <sz val="14"/>
            <color indexed="81"/>
            <rFont val="Tahoma"/>
            <family val="2"/>
          </rPr>
          <t xml:space="preserve">Performance Based Incentives are often adjusted to account for inflation. For example, the Federal Production Tax Credit (PTC) is adjusted each year to account for changes in the GDP IPD index. This cell can be used as a proxy for the inflation that would apply to any PBI incentive entered above.
This input cannot be left blank.
</t>
        </r>
        <r>
          <rPr>
            <sz val="8"/>
            <color indexed="81"/>
            <rFont val="Tahoma"/>
            <family val="2"/>
          </rPr>
          <t xml:space="preserve">
</t>
        </r>
      </text>
    </comment>
    <comment ref="H24" authorId="1" shapeId="0" xr:uid="{00000000-0006-0000-0100-00001D000000}">
      <text>
        <r>
          <rPr>
            <b/>
            <sz val="14"/>
            <color indexed="81"/>
            <rFont val="Tahoma"/>
            <family val="2"/>
          </rPr>
          <t xml:space="preserve">Note:
</t>
        </r>
        <r>
          <rPr>
            <sz val="14"/>
            <color indexed="81"/>
            <rFont val="Tahoma"/>
            <family val="2"/>
          </rPr>
          <t>The Project Useful Life is the number of years that the project is expected to be fully operational, reliably delivering electricity to the grid, and generating revenue. This concept is different from the FIT Contract Length, which is administratively determined by policymakers. These two values may be the same if a FIT contract is offered for the project's entire expected useful life. This approach is likely to generate the lowest tariff rate, while successfully attracting investors to renewable energy projects.  
The CREST model is built for a maximum Project Useful Life of 30 years.
Input must be greater than 0 and less than or equal to 30.
This value will be site specific but reasonable inputs are likely to fall in the range of 10-30 years</t>
        </r>
      </text>
    </comment>
    <comment ref="H26" authorId="1" shapeId="0" xr:uid="{FFC5C2F8-983F-4B4F-B64B-EAE881C12097}">
      <text>
        <r>
          <rPr>
            <b/>
            <sz val="14"/>
            <color indexed="81"/>
            <rFont val="Tahoma"/>
            <family val="2"/>
          </rPr>
          <t>Note:</t>
        </r>
        <r>
          <rPr>
            <sz val="14"/>
            <color indexed="81"/>
            <rFont val="Tahoma"/>
            <family val="2"/>
          </rPr>
          <t xml:space="preserve">
The default of 4,000 ft3/ton (112 m3/MT) of grass is from work by Tom Richard, PSU, assuming cellulose content of 45% and hemicellulose of 25%, from mature switchgrass.  The carbon content of the cellulose and hemicellulose is 44%, with a methane conversion rate of 21%, ch4 molecular wt of 12 or carbon wt of 12.  Braun et al. (2010), has a much higher rate of 382 m3/MT for grass, which is presumably greener and more digestible.</t>
        </r>
      </text>
    </comment>
    <comment ref="Q27" authorId="1" shapeId="0" xr:uid="{86A4FC47-528C-4049-BD1A-E6D2BDB8ABB0}">
      <text>
        <r>
          <rPr>
            <b/>
            <sz val="14"/>
            <color indexed="81"/>
            <rFont val="Tahoma"/>
            <family val="2"/>
          </rPr>
          <t>Note:</t>
        </r>
        <r>
          <rPr>
            <sz val="14"/>
            <color indexed="81"/>
            <rFont val="Tahoma"/>
            <family val="2"/>
          </rPr>
          <t xml:space="preserve">
Enter the amount of any grant funding such as from the USDA Renewable Energy for America Program.</t>
        </r>
      </text>
    </comment>
    <comment ref="Q28" authorId="1" shapeId="0" xr:uid="{00000000-0006-0000-0100-000049000000}">
      <text>
        <r>
          <rPr>
            <b/>
            <sz val="14"/>
            <color indexed="81"/>
            <rFont val="Tahoma"/>
            <family val="2"/>
          </rPr>
          <t xml:space="preserve">Note:
</t>
        </r>
        <r>
          <rPr>
            <sz val="14"/>
            <color indexed="81"/>
            <rFont val="Tahoma"/>
            <family val="2"/>
          </rPr>
          <t xml:space="preserve">Some renewable energy projects may be eligible for other federal grants as well, such as funding from the U.S. Department of Agriculture. This input cell can be used to capture those funding opportunities, some of which are outlined online at:
http://dsireusa.org/incentives/index.cfm?state=us&amp;re=1&amp;EE=1
*See bottom of introduction page for a list of links
Input cannot be less than zero.
</t>
        </r>
      </text>
    </comment>
    <comment ref="H29" authorId="1" shapeId="0" xr:uid="{00000000-0006-0000-0100-000021000000}">
      <text>
        <r>
          <rPr>
            <b/>
            <sz val="14"/>
            <color indexed="81"/>
            <rFont val="Tahoma"/>
            <family val="2"/>
          </rPr>
          <t>Note:</t>
        </r>
        <r>
          <rPr>
            <sz val="14"/>
            <color indexed="81"/>
            <rFont val="Tahoma"/>
            <family val="2"/>
          </rPr>
          <t xml:space="preserve">
This model allows the user to input system cost at one of two levels of detail: "simple" and "intermediate" or "complex." Simple offers a single input in $/kW while Intermediate offers five cost subcategories in total dollars.  Select your preferred method and use the cells below to enter your cost information.</t>
        </r>
      </text>
    </comment>
    <comment ref="Q29" authorId="0" shapeId="0" xr:uid="{00000000-0006-0000-0100-00004B000000}">
      <text>
        <r>
          <rPr>
            <b/>
            <sz val="14"/>
            <color indexed="81"/>
            <rFont val="Tahoma"/>
            <family val="2"/>
          </rPr>
          <t xml:space="preserve">Note:
</t>
        </r>
        <r>
          <rPr>
            <sz val="14"/>
            <color indexed="81"/>
            <rFont val="Tahoma"/>
            <family val="2"/>
          </rPr>
          <t xml:space="preserve">Select here whether federal grants (other than the section 1603 payment in lieu of the ITC/PTC) are treated as taxable income. If no, depreciation basis is reduced. 
</t>
        </r>
      </text>
    </comment>
    <comment ref="H30" authorId="1" shapeId="0" xr:uid="{00000000-0006-0000-0100-000023000000}">
      <text>
        <r>
          <rPr>
            <b/>
            <sz val="14"/>
            <color indexed="81"/>
            <rFont val="Tahoma"/>
            <family val="2"/>
          </rPr>
          <t>Note:</t>
        </r>
        <r>
          <rPr>
            <sz val="14"/>
            <color indexed="81"/>
            <rFont val="Tahoma"/>
            <family val="2"/>
          </rPr>
          <t xml:space="preserve">
When "Simple" is selected in the Cost Level of Detail cell, this "Total Installed Cost" row represents the total expected all-in project cost, which should include all hardware, balance of plant, interconnection, design, construction, permitting, development (including developer fee), interest during construction and financing costs. This figure should not account for any tax incentives, grants, or other cash incentives, each of which will be addressed elsewhere in the model. This figure should, however, reflect any applicable sales tax or exemptions thereof.
Input must be greater than zero.
</t>
        </r>
      </text>
    </comment>
    <comment ref="H31" authorId="1" shapeId="0" xr:uid="{A44AFD67-415B-4F85-94EF-9CAE95730D12}">
      <text>
        <r>
          <rPr>
            <b/>
            <sz val="14"/>
            <color indexed="81"/>
            <rFont val="Tahoma"/>
            <family val="2"/>
          </rPr>
          <t>Note:</t>
        </r>
        <r>
          <rPr>
            <sz val="14"/>
            <color indexed="81"/>
            <rFont val="Tahoma"/>
            <family val="2"/>
          </rPr>
          <t xml:space="preserve">
When "Simple" is selected in the Cost Level of Detail cell, this "Total Installed Cost" row represents the total expected all-in project cost, which should include all hardware, balance of plant, interconnection, design, construction, permitting, development (including developer fee), interest during construction and financing costs. This figure should not account for any tax incentives, grants, or other cash incentives, each of which will be addressed elsewhere in the model. This figure should, however, reflect any applicable sales tax or exemptions thereof.
Input must be greater than zero.
</t>
        </r>
      </text>
    </comment>
    <comment ref="Q32" authorId="1" shapeId="0" xr:uid="{00000000-0006-0000-0100-000050000000}">
      <text>
        <r>
          <rPr>
            <b/>
            <sz val="14"/>
            <color indexed="81"/>
            <rFont val="Tahoma"/>
            <family val="2"/>
          </rPr>
          <t xml:space="preserve">Note:
</t>
        </r>
        <r>
          <rPr>
            <sz val="14"/>
            <color indexed="81"/>
            <rFont val="Tahoma"/>
            <family val="2"/>
          </rPr>
          <t>This drop-down input cell allows the user to specify whether state, utility, or other local incentives are cost-based (e.g. an investment tax credit) or performance-based (e.g. a PTC, Renewable Energy Credit (REC) or other cash payment). If no state incentive is available or useable by the modeled project, the user will select "Neither." The magnitude and terms of these incentives are set in the cells below.
For more information, a useful resource for researching federal and state incentives online is:  
http://dsireusa.org/
*See bottom of introduction page for a list of links</t>
        </r>
      </text>
    </comment>
    <comment ref="Q33" authorId="0" shapeId="0" xr:uid="{00000000-0006-0000-0100-000052000000}">
      <text>
        <r>
          <rPr>
            <b/>
            <sz val="14"/>
            <color indexed="81"/>
            <rFont val="Tahoma"/>
            <family val="2"/>
          </rPr>
          <t xml:space="preserve">NOTE:
</t>
        </r>
        <r>
          <rPr>
            <sz val="14"/>
            <color indexed="81"/>
            <rFont val="Tahoma"/>
            <family val="2"/>
          </rPr>
          <t>The maximum potential Investment Tax Credit (ITC) benefit is assumed to be 30% of those project costs which are depreciable on the 5-year MACRS schedule.
Note that the state investment tax credit can only be applied to state-specific income tax liability.</t>
        </r>
      </text>
    </comment>
    <comment ref="H34" authorId="1" shapeId="0" xr:uid="{00000000-0006-0000-0100-000025000000}">
      <text>
        <r>
          <rPr>
            <b/>
            <sz val="14"/>
            <color indexed="81"/>
            <rFont val="Tahoma"/>
            <family val="2"/>
          </rPr>
          <t>Note:</t>
        </r>
        <r>
          <rPr>
            <sz val="14"/>
            <color indexed="81"/>
            <rFont val="Tahoma"/>
            <family val="2"/>
          </rPr>
          <t xml:space="preserve">
"Generation Equipment" should include hardware such as the generator, blades and tower.  
Caution: the model assumes that if "Intermediate" is selected as the level of detail section, the "Generation Equipment" row must have a value greater than zero. 
</t>
        </r>
      </text>
    </comment>
    <comment ref="H35" authorId="1" shapeId="0" xr:uid="{00000000-0006-0000-0100-000027000000}">
      <text>
        <r>
          <rPr>
            <b/>
            <sz val="14"/>
            <color indexed="81"/>
            <rFont val="Tahoma"/>
            <family val="2"/>
          </rPr>
          <t>Note:</t>
        </r>
        <r>
          <rPr>
            <sz val="14"/>
            <color indexed="81"/>
            <rFont val="Tahoma"/>
            <family val="2"/>
          </rPr>
          <t xml:space="preserve">
Balance of Plant (also known as Balance of System) represents all infrastructure, site prep and labor supporting the installation of the generation equipment. BOP costs include foundations, mounting devices, other hardware, and labor not already accounted for in the "Generation Equipment" row.
Input cannot be less than zero.
</t>
        </r>
      </text>
    </comment>
    <comment ref="Q35" authorId="0" shapeId="0" xr:uid="{00000000-0006-0000-0100-000055000000}">
      <text>
        <r>
          <rPr>
            <b/>
            <sz val="14"/>
            <color indexed="81"/>
            <rFont val="Tahoma"/>
            <family val="2"/>
          </rPr>
          <t xml:space="preserve">Note:
</t>
        </r>
        <r>
          <rPr>
            <sz val="14"/>
            <color indexed="81"/>
            <rFont val="Tahoma"/>
            <family val="2"/>
          </rPr>
          <t>Specifies whether the available ITC is realized in a single year or over multiple years. This input will be specified by state-specific law or regulation.
A good resource on available state incentives is:  
http://dsireusa.org/
*See bottom of introduction page for a list of links
Input must be greater than 1 and less than the Project Useful Life.</t>
        </r>
      </text>
    </comment>
    <comment ref="H36" authorId="1" shapeId="0" xr:uid="{00000000-0006-0000-0100-000029000000}">
      <text>
        <r>
          <rPr>
            <b/>
            <sz val="14"/>
            <color indexed="81"/>
            <rFont val="Tahoma"/>
            <family val="2"/>
          </rPr>
          <t>Note:</t>
        </r>
        <r>
          <rPr>
            <sz val="14"/>
            <color indexed="81"/>
            <rFont val="Tahoma"/>
            <family val="2"/>
          </rPr>
          <t xml:space="preserve">
The "Interconnection" row should account for all project costs relating to connecting to the grid, such as the construction of transmission lines, permitting costs with the utility, and start-up costs. This category will also include the cost of a new substation, if necessary.
Input cannot be less than zero.
</t>
        </r>
      </text>
    </comment>
    <comment ref="Q36" authorId="0" shapeId="0" xr:uid="{00000000-0006-0000-0100-000057000000}">
      <text>
        <r>
          <rPr>
            <b/>
            <sz val="14"/>
            <color indexed="81"/>
            <rFont val="Tahoma"/>
            <family val="2"/>
          </rPr>
          <t xml:space="preserve">Note:
</t>
        </r>
        <r>
          <rPr>
            <sz val="14"/>
            <color indexed="81"/>
            <rFont val="Tahoma"/>
            <family val="2"/>
          </rPr>
          <t xml:space="preserve">Calculates the dollar value of the State Investment Tax Credit, if applicable.
</t>
        </r>
      </text>
    </comment>
    <comment ref="H37" authorId="1" shapeId="0" xr:uid="{00000000-0006-0000-0100-00002A000000}">
      <text>
        <r>
          <rPr>
            <b/>
            <sz val="14"/>
            <color indexed="81"/>
            <rFont val="Tahoma"/>
            <family val="2"/>
          </rPr>
          <t>Note:</t>
        </r>
        <r>
          <rPr>
            <sz val="8"/>
            <color indexed="81"/>
            <rFont val="Tahoma"/>
            <family val="2"/>
          </rPr>
          <t xml:space="preserve">
</t>
        </r>
        <r>
          <rPr>
            <sz val="14"/>
            <color indexed="81"/>
            <rFont val="Tahoma"/>
            <family val="2"/>
          </rPr>
          <t xml:space="preserve">The "Development Costs" row should include all costs relating to project management, studies, engineering, permitting, contingencies, success fees, and other soft costs not accounted for elsewhere in the "Intermediate" cost breakdown. 
Input cannot be less than zero.
</t>
        </r>
      </text>
    </comment>
    <comment ref="Q37" authorId="0" shapeId="0" xr:uid="{00000000-0006-0000-0100-000059000000}">
      <text>
        <r>
          <rPr>
            <b/>
            <sz val="14"/>
            <color indexed="81"/>
            <rFont val="Tahoma"/>
            <family val="2"/>
          </rPr>
          <t xml:space="preserve">Note: </t>
        </r>
        <r>
          <rPr>
            <sz val="14"/>
            <color indexed="81"/>
            <rFont val="Tahoma"/>
            <family val="2"/>
          </rPr>
          <t xml:space="preserve">
This input cell is for the Federal Production Tax Credit (applicable to private projects with tax appetites) or the Federal Renewable Energy Production Incentive (REPI), historically available to some public projects.
</t>
        </r>
      </text>
    </comment>
    <comment ref="Q38" authorId="0" shapeId="0" xr:uid="{00000000-0006-0000-0100-00005B000000}">
      <text>
        <r>
          <rPr>
            <b/>
            <sz val="14"/>
            <color indexed="81"/>
            <rFont val="Tahoma"/>
            <family val="2"/>
          </rPr>
          <t xml:space="preserve">Note:
</t>
        </r>
        <r>
          <rPr>
            <sz val="14"/>
            <color indexed="81"/>
            <rFont val="Tahoma"/>
            <family val="2"/>
          </rPr>
          <t xml:space="preserve">Enter here the annual dollar value ("cap") of any state-specific production incentive.
</t>
        </r>
        <r>
          <rPr>
            <b/>
            <sz val="16"/>
            <color indexed="81"/>
            <rFont val="Tahoma"/>
            <family val="2"/>
          </rPr>
          <t>If no cap exists, enter zero.</t>
        </r>
        <r>
          <rPr>
            <sz val="14"/>
            <color indexed="81"/>
            <rFont val="Tahoma"/>
            <family val="2"/>
          </rPr>
          <t xml:space="preserve">
Input cannot be less than zero.
</t>
        </r>
      </text>
    </comment>
    <comment ref="Q39" authorId="0" shapeId="0" xr:uid="{00000000-0006-0000-0100-00005D000000}">
      <text>
        <r>
          <rPr>
            <b/>
            <sz val="14"/>
            <color indexed="81"/>
            <rFont val="Tahoma"/>
            <family val="2"/>
          </rPr>
          <t xml:space="preserve">Note:
</t>
        </r>
        <r>
          <rPr>
            <sz val="14"/>
            <color indexed="81"/>
            <rFont val="Tahoma"/>
            <family val="2"/>
          </rPr>
          <t xml:space="preserve">Impacts tax treatment of PBI if owner is a taxable entity.
</t>
        </r>
      </text>
    </comment>
    <comment ref="H40" authorId="1" shapeId="0" xr:uid="{00000000-0006-0000-0100-00002C000000}">
      <text>
        <r>
          <rPr>
            <b/>
            <sz val="14"/>
            <color indexed="81"/>
            <rFont val="Tahoma"/>
            <family val="2"/>
          </rPr>
          <t>Note:</t>
        </r>
        <r>
          <rPr>
            <sz val="14"/>
            <color indexed="81"/>
            <rFont val="Tahoma"/>
            <family val="2"/>
          </rPr>
          <t xml:space="preserve">
The "Reserves &amp; Financing Costs" row accounts for all costs relating to financing, such as lender fees, closing costs, legal fees, interest during construction, due diligence costs, and any other relevant, financing relating costs. The model calculates this field by aggregating G22 through G25, G51, G54, G63, G66, Q57 and Q60.
</t>
        </r>
      </text>
    </comment>
    <comment ref="Q40" authorId="0" shapeId="0" xr:uid="{00000000-0006-0000-0100-00005E000000}">
      <text>
        <r>
          <rPr>
            <b/>
            <sz val="14"/>
            <color indexed="81"/>
            <rFont val="Tahoma"/>
            <family val="2"/>
          </rPr>
          <t xml:space="preserve">Note: </t>
        </r>
        <r>
          <rPr>
            <sz val="14"/>
            <color indexed="81"/>
            <rFont val="Tahoma"/>
            <family val="2"/>
          </rPr>
          <t xml:space="preserve">
This cell denotes the value of the Performance Based Incentive applicable to the project's first year of commercial operation. In some cases, this value will need to be calculated external to the model if such PBI is derived from a "base year" and specified inflation index. The following cells can be used to account for inflation and the maximum term of eligibility.
Input cannot be less than zero.
</t>
        </r>
      </text>
    </comment>
    <comment ref="H41" authorId="1" shapeId="0" xr:uid="{00000000-0006-0000-0100-000030000000}">
      <text>
        <r>
          <rPr>
            <b/>
            <sz val="14"/>
            <color indexed="81"/>
            <rFont val="Tahoma"/>
            <family val="2"/>
          </rPr>
          <t>Note:</t>
        </r>
        <r>
          <rPr>
            <sz val="14"/>
            <color indexed="81"/>
            <rFont val="Tahoma"/>
            <family val="2"/>
          </rPr>
          <t xml:space="preserve">
The total system cost is a calculation, based on the level of detail selected and the assocated inputs.
</t>
        </r>
      </text>
    </comment>
    <comment ref="H42" authorId="1" shapeId="0" xr:uid="{00000000-0006-0000-0100-000032000000}">
      <text>
        <r>
          <rPr>
            <b/>
            <sz val="14"/>
            <color indexed="81"/>
            <rFont val="Tahoma"/>
            <family val="2"/>
          </rPr>
          <t>Note:</t>
        </r>
        <r>
          <rPr>
            <sz val="14"/>
            <color indexed="81"/>
            <rFont val="Tahoma"/>
            <family val="2"/>
          </rPr>
          <t xml:space="preserve">
Calculation based on the total system cost in the cell above and the system size reported. 
This value will be site specific but reasonable inputs are likely to fall in the range of $3,000-$12,000</t>
        </r>
        <r>
          <rPr>
            <sz val="8"/>
            <color indexed="81"/>
            <rFont val="Tahoma"/>
            <family val="2"/>
          </rPr>
          <t xml:space="preserve">
</t>
        </r>
      </text>
    </comment>
    <comment ref="Q42" authorId="0" shapeId="0" xr:uid="{00000000-0006-0000-0100-000061000000}">
      <text>
        <r>
          <rPr>
            <b/>
            <sz val="14"/>
            <color indexed="81"/>
            <rFont val="Tahoma"/>
            <family val="2"/>
          </rPr>
          <t>Note:</t>
        </r>
        <r>
          <rPr>
            <sz val="14"/>
            <color indexed="81"/>
            <rFont val="Tahoma"/>
            <family val="2"/>
          </rPr>
          <t xml:space="preserve">
This is the length of time that a project would be eligible for any Performance Based Incentives outlined in the cell immediately above. For example, the Federal Renewable Energy Production Incentive and Production Tax Credit incentives are available for the first 10 years of project operation.
Input cannot be less than zero.
</t>
        </r>
      </text>
    </comment>
    <comment ref="H43" authorId="1" shapeId="0" xr:uid="{19F3925C-C5EC-4363-B77A-BC43580E4ABD}">
      <text>
        <r>
          <rPr>
            <b/>
            <sz val="14"/>
            <color indexed="81"/>
            <rFont val="Tahoma"/>
            <family val="2"/>
          </rPr>
          <t>Note:</t>
        </r>
        <r>
          <rPr>
            <sz val="8"/>
            <color indexed="81"/>
            <rFont val="Tahoma"/>
            <family val="2"/>
          </rPr>
          <t xml:space="preserve">
</t>
        </r>
        <r>
          <rPr>
            <sz val="14"/>
            <color indexed="81"/>
            <rFont val="Tahoma"/>
            <family val="2"/>
          </rPr>
          <t xml:space="preserve">The "Decommissioning" item is the expected cost of removing the equipment at the end of the life.  Other inputs allow the user to specify if funds are set aside during the operating years  to use for this purpose.
</t>
        </r>
      </text>
    </comment>
    <comment ref="Q43" authorId="0" shapeId="0" xr:uid="{00000000-0006-0000-0100-000063000000}">
      <text>
        <r>
          <rPr>
            <b/>
            <sz val="14"/>
            <color indexed="81"/>
            <rFont val="Tahoma"/>
            <family val="2"/>
          </rPr>
          <t xml:space="preserve">Note:
</t>
        </r>
        <r>
          <rPr>
            <sz val="14"/>
            <color indexed="81"/>
            <rFont val="Tahoma"/>
            <family val="2"/>
          </rPr>
          <t xml:space="preserve">Performance Based Incentives are often adjusted to account for inflation. For example, the Federal Production Tax Credit (PTC) is adjusted each year to account for changes in the GDP IPD index. This cell can be used as a proxy for the inflation that would apply to any PBI incentive entered above.
This input cannot be left blank.
</t>
        </r>
      </text>
    </comment>
    <comment ref="Q44" authorId="0" shapeId="0" xr:uid="{00000000-0006-0000-0100-000065000000}">
      <text>
        <r>
          <rPr>
            <b/>
            <sz val="14"/>
            <color indexed="81"/>
            <rFont val="Tahoma"/>
            <family val="2"/>
          </rPr>
          <t xml:space="preserve">Note:
</t>
        </r>
        <r>
          <rPr>
            <sz val="14"/>
            <color indexed="81"/>
            <rFont val="Tahoma"/>
            <family val="2"/>
          </rPr>
          <t xml:space="preserve">Include here the dollar per Watt value of any state-specific rebates or cash grants.
Input cannot be less than zero.
</t>
        </r>
      </text>
    </comment>
    <comment ref="F45" authorId="0" shapeId="0" xr:uid="{00000000-0006-0000-0100-000034000000}">
      <text>
        <r>
          <rPr>
            <b/>
            <sz val="8"/>
            <color indexed="81"/>
            <rFont val="Tahoma"/>
            <family val="2"/>
          </rPr>
          <t>See "unit" definitions at the bottom of this worksheet.</t>
        </r>
        <r>
          <rPr>
            <sz val="8"/>
            <color indexed="81"/>
            <rFont val="Tahoma"/>
            <family val="2"/>
          </rPr>
          <t xml:space="preserve">
</t>
        </r>
      </text>
    </comment>
    <comment ref="Q45" authorId="0" shapeId="0" xr:uid="{00000000-0006-0000-0100-000066000000}">
      <text>
        <r>
          <rPr>
            <b/>
            <sz val="14"/>
            <color indexed="81"/>
            <rFont val="Tahoma"/>
            <family val="2"/>
          </rPr>
          <t xml:space="preserve">Note:
</t>
        </r>
        <r>
          <rPr>
            <sz val="14"/>
            <color indexed="81"/>
            <rFont val="Tahoma"/>
            <family val="2"/>
          </rPr>
          <t xml:space="preserve">Enter here the maximum dollar value ("cap") of any state-specific rebate or grant.
If no cap exists, enter zero.
Input cannot be less than zero.
</t>
        </r>
      </text>
    </comment>
    <comment ref="H46" authorId="1" shapeId="0" xr:uid="{9C6373DE-06DE-4C69-88AA-EF260890EEB6}">
      <text>
        <r>
          <rPr>
            <b/>
            <sz val="14"/>
            <color indexed="81"/>
            <rFont val="Tahoma"/>
            <family val="2"/>
          </rPr>
          <t>Note:</t>
        </r>
        <r>
          <rPr>
            <sz val="14"/>
            <color indexed="81"/>
            <rFont val="Tahoma"/>
            <family val="2"/>
          </rPr>
          <t xml:space="preserve">
This is a percentage of the investment required before financing costs.</t>
        </r>
      </text>
    </comment>
    <comment ref="Q46" authorId="0" shapeId="0" xr:uid="{00000000-0006-0000-0100-000068000000}">
      <text>
        <r>
          <rPr>
            <b/>
            <sz val="14"/>
            <color indexed="81"/>
            <rFont val="Tahoma"/>
            <family val="2"/>
          </rPr>
          <t xml:space="preserve">Note:
</t>
        </r>
        <r>
          <rPr>
            <sz val="14"/>
            <color indexed="81"/>
            <rFont val="Tahoma"/>
            <family val="2"/>
          </rPr>
          <t xml:space="preserve">Select here whether state grants are treated as taxable income.  If no, depreciation basis is reduced. 
</t>
        </r>
      </text>
    </comment>
    <comment ref="H48" authorId="1" shapeId="0" xr:uid="{4CA06358-ED64-497B-A562-BCFA2EAE512F}">
      <text>
        <r>
          <rPr>
            <b/>
            <sz val="14"/>
            <color indexed="81"/>
            <rFont val="Tahoma"/>
            <family val="2"/>
          </rPr>
          <t>Note:</t>
        </r>
        <r>
          <rPr>
            <sz val="14"/>
            <color indexed="81"/>
            <rFont val="Tahoma"/>
            <family val="2"/>
          </rPr>
          <t xml:space="preserve">
Biogas-fueled engines require routine oil, filter, and sparkplug replacement. Depending on the engine’s duty-cycle, oil changes are usually done between 500 to 1,500 hours of operation, or every 21 to 62 days since the engine is operating 24 hours per day.  Ask the digester developer for an estimate of the operation and maintenance expense to expect.</t>
        </r>
      </text>
    </comment>
    <comment ref="O48" authorId="0" shapeId="0" xr:uid="{00000000-0006-0000-0100-000083000000}">
      <text>
        <r>
          <rPr>
            <b/>
            <sz val="8"/>
            <color indexed="81"/>
            <rFont val="Tahoma"/>
            <family val="2"/>
          </rPr>
          <t>See "unit" definitions at the bottom of this worksheet.</t>
        </r>
        <r>
          <rPr>
            <sz val="8"/>
            <color indexed="81"/>
            <rFont val="Tahoma"/>
            <family val="2"/>
          </rPr>
          <t xml:space="preserve">
</t>
        </r>
      </text>
    </comment>
    <comment ref="H49" authorId="1" shapeId="0" xr:uid="{0182F6EB-792D-477D-9FA9-134E7DD301FB}">
      <text>
        <r>
          <rPr>
            <b/>
            <sz val="14"/>
            <color indexed="81"/>
            <rFont val="Tahoma"/>
            <family val="2"/>
          </rPr>
          <t>Note:</t>
        </r>
        <r>
          <rPr>
            <sz val="14"/>
            <color indexed="81"/>
            <rFont val="Tahoma"/>
            <family val="2"/>
          </rPr>
          <t xml:space="preserve">
Replacing the engine heads normally occurs at intervals of 8,000 to 12,000 hours.  After about 20,000 hours, a top end rebuild of the engine may be necessary.</t>
        </r>
      </text>
    </comment>
    <comment ref="Q49" authorId="0" shapeId="0" xr:uid="{00000000-0006-0000-0100-00008A000000}">
      <text>
        <r>
          <rPr>
            <b/>
            <sz val="14"/>
            <color indexed="81"/>
            <rFont val="Tahoma"/>
            <family val="2"/>
          </rPr>
          <t>Note:</t>
        </r>
        <r>
          <rPr>
            <sz val="14"/>
            <color indexed="81"/>
            <rFont val="Tahoma"/>
            <family val="2"/>
          </rPr>
          <t xml:space="preserve">
Lenders typically require the project owner to establish a reserve account prior to the commencement of operations to ensure that all O&amp;M expenses can be met even if the project has insufficient operating cash flow in a specific period due to lower than expected production, higher costs, or both. The size of the reserve account is typically 3 to 6 months of O&amp;M expenses, and includes all categories of O&amp;M expenses.
Input cannot be less than zero.
</t>
        </r>
      </text>
    </comment>
    <comment ref="Q50" authorId="0" shapeId="0" xr:uid="{00000000-0006-0000-0100-00008C000000}">
      <text>
        <r>
          <rPr>
            <b/>
            <sz val="14"/>
            <color indexed="81"/>
            <rFont val="Tahoma"/>
            <family val="2"/>
          </rPr>
          <t>Note:</t>
        </r>
        <r>
          <rPr>
            <sz val="14"/>
            <color indexed="81"/>
            <rFont val="Tahoma"/>
            <family val="2"/>
          </rPr>
          <t xml:space="preserve">
Calculated value based on the # months of required reserve and all annual operating expenses.
</t>
        </r>
      </text>
    </comment>
    <comment ref="H51" authorId="1" shapeId="0" xr:uid="{1199F439-93AA-4FE3-9968-9831E469591F}">
      <text>
        <r>
          <rPr>
            <b/>
            <sz val="14"/>
            <color indexed="81"/>
            <rFont val="Tahoma"/>
            <family val="2"/>
          </rPr>
          <t>Note:</t>
        </r>
        <r>
          <rPr>
            <sz val="14"/>
            <color indexed="81"/>
            <rFont val="Tahoma"/>
            <family val="2"/>
          </rPr>
          <t xml:space="preserve">
Replacing the engine heads normally occurs at intervals of 8,000 to 12,000 hours.  After about 20,000 hours, a top end rebuild of the engine may be necessary.</t>
        </r>
      </text>
    </comment>
    <comment ref="Q51" authorId="0" shapeId="0" xr:uid="{00000000-0006-0000-0100-00008E000000}">
      <text>
        <r>
          <rPr>
            <b/>
            <sz val="14"/>
            <color indexed="81"/>
            <rFont val="Tahoma"/>
            <family val="2"/>
          </rPr>
          <t>Note:</t>
        </r>
        <r>
          <rPr>
            <sz val="14"/>
            <color indexed="81"/>
            <rFont val="Tahoma"/>
            <family val="2"/>
          </rPr>
          <t xml:space="preserve">
Unused reserves earn interest at this rate. Input cannot be less than zero.
</t>
        </r>
      </text>
    </comment>
    <comment ref="H52" authorId="1" shapeId="0" xr:uid="{5FE21E3C-2825-4615-9AC1-F16257CE94EE}">
      <text>
        <r>
          <rPr>
            <b/>
            <sz val="14"/>
            <color indexed="81"/>
            <rFont val="Tahoma"/>
            <family val="2"/>
          </rPr>
          <t>Note:</t>
        </r>
        <r>
          <rPr>
            <sz val="14"/>
            <color indexed="81"/>
            <rFont val="Tahoma"/>
            <family val="2"/>
          </rPr>
          <t xml:space="preserve">
Sludge usually needs to be cleaned out occasionally, so plan for that.</t>
        </r>
      </text>
    </comment>
    <comment ref="H54" authorId="1" shapeId="0" xr:uid="{9F27D703-027B-4FE7-A598-1E8650EE71CA}">
      <text>
        <r>
          <rPr>
            <b/>
            <sz val="14"/>
            <color indexed="81"/>
            <rFont val="Tahoma"/>
            <family val="2"/>
          </rPr>
          <t>Note:</t>
        </r>
        <r>
          <rPr>
            <sz val="14"/>
            <color indexed="81"/>
            <rFont val="Tahoma"/>
            <family val="2"/>
          </rPr>
          <t xml:space="preserve">
Sludge usually needs to be cleaned out occasionally, so plan for that.</t>
        </r>
      </text>
    </comment>
    <comment ref="Q54" authorId="1" shapeId="0" xr:uid="{0CA6DD2A-CEFE-4E10-8A6C-2235F20704A8}">
      <text>
        <r>
          <rPr>
            <b/>
            <sz val="14"/>
            <color indexed="81"/>
            <rFont val="Tahoma"/>
            <family val="2"/>
          </rPr>
          <t>Note:</t>
        </r>
        <r>
          <rPr>
            <sz val="14"/>
            <color indexed="81"/>
            <rFont val="Tahoma"/>
            <family val="2"/>
          </rPr>
          <t xml:space="preserve">
One useful measure of financial feasibility of a major capital investment is the debt service coverage ratio (DSCR), calculated by dividing the sum of the annual principal and interest payment into that year's operating cash flow. Lenders will require the DSCR to demonstrate the project's ability to easily meet its annual debt service obligation.  A higher DSCR is preferred over a lower number.  For example, a DSCR of 1.0 would mean that just enough cash flow is available to cover the debt payments while a DSCR greater than 1.0 means that there is some cushion in the cash flow.
Average DSCRs over the life of the loan typically range from 1.2 to 1.5 for private, commercially financed projects, or from 1.1 to 1.3 for publicly owned, bond-financed projects - depending on the level of reserves, or other surety, provided. The input will vary by site and but will generally fall between 1.0 and 1.3.  The annual minimum DSCR will depend on the specific terms of the loan and the probability-weighting of the production estimate, but will likely be in the range of 1.3 to 1.5. This input must be greater than 1.
</t>
        </r>
      </text>
    </comment>
    <comment ref="H55" authorId="0" shapeId="0" xr:uid="{00000000-0006-0000-0100-00003C000000}">
      <text>
        <r>
          <rPr>
            <b/>
            <sz val="14"/>
            <color indexed="81"/>
            <rFont val="Tahoma"/>
            <family val="2"/>
          </rPr>
          <t>Note:</t>
        </r>
        <r>
          <rPr>
            <sz val="14"/>
            <color indexed="81"/>
            <rFont val="Tahoma"/>
            <family val="2"/>
          </rPr>
          <t xml:space="preserve">
This inflation rate applies to both fixed and variable O&amp;M expense, insurance, and project management costs entered above, if applicable. 
The model allows the user to specify an inflation assumption for an "initial period" and a second inflation assumption "thereafter." These inputs can be used to account for inflation which might be fixed during an initial O&amp;M service contract, but are unknown thereafter.  The final year of the "initial period" is  user-defined (e.g. final year of an O&amp;M service contract). 
The purpose of this feature is also to recognize that inflationary trends may change over time, or that some projects may not expect inflation of O&amp;M expenses for the first several years, but may expect inflation thereafter.
This inflation rate does not apply to PILOT or Royalty costs. Input cannot be less than zero.
</t>
        </r>
      </text>
    </comment>
    <comment ref="Q55" authorId="0" shapeId="0" xr:uid="{00000000-0006-0000-0100-000071000000}">
      <text>
        <r>
          <rPr>
            <b/>
            <sz val="14"/>
            <color indexed="81"/>
            <rFont val="Tahoma"/>
            <family val="2"/>
          </rPr>
          <t>Note:</t>
        </r>
        <r>
          <rPr>
            <sz val="14"/>
            <color indexed="81"/>
            <rFont val="Tahoma"/>
            <family val="2"/>
          </rPr>
          <t xml:space="preserve">
If "#N/A" appears, F9 should be pressed until the calculated COE achieves it's final value.</t>
        </r>
      </text>
    </comment>
    <comment ref="Q56" authorId="1" shapeId="0" xr:uid="{00000000-0006-0000-0100-000073000000}">
      <text>
        <r>
          <rPr>
            <b/>
            <sz val="14"/>
            <color indexed="81"/>
            <rFont val="Tahoma"/>
            <family val="2"/>
          </rPr>
          <t>Note:</t>
        </r>
        <r>
          <rPr>
            <sz val="14"/>
            <color indexed="81"/>
            <rFont val="Tahoma"/>
            <family val="2"/>
          </rPr>
          <t xml:space="preserve">
This cell checks that the debt service coverage ratio exceeds the user-defined minimum in each operating year (see note in DSCR cell for definition and rationale for DSCR). If the test "fails", the user must cover the deficit from other farm cash flow in some years, or adjust the loan terms.</t>
        </r>
      </text>
    </comment>
    <comment ref="H57" authorId="1" shapeId="0" xr:uid="{00000000-0006-0000-0100-000046000000}">
      <text>
        <r>
          <rPr>
            <b/>
            <sz val="14"/>
            <color indexed="81"/>
            <rFont val="Tahoma"/>
            <family val="2"/>
          </rPr>
          <t>Note:</t>
        </r>
        <r>
          <rPr>
            <sz val="14"/>
            <color indexed="81"/>
            <rFont val="Tahoma"/>
            <family val="2"/>
          </rPr>
          <t xml:space="preserve">
Some projects will use energy crops or accept feedstocks for no tipping fee but have to incur transportation costs for their delivery.  This input expressed that cost in $/ton.  It is NOT entered here but rather is calculated in the Switchgrass_key_inputs sheet and the Switchgrass_budget sheet.
</t>
        </r>
      </text>
    </comment>
    <comment ref="Q57" authorId="1" shapeId="0" xr:uid="{00000000-0006-0000-0100-000075000000}">
      <text>
        <r>
          <rPr>
            <b/>
            <sz val="14"/>
            <color indexed="81"/>
            <rFont val="Tahoma"/>
            <family val="2"/>
          </rPr>
          <t>Note:</t>
        </r>
        <r>
          <rPr>
            <sz val="14"/>
            <color indexed="81"/>
            <rFont val="Tahoma"/>
            <family val="2"/>
          </rPr>
          <t xml:space="preserve">
The annual Debt Service Coverage Ratio is calculated by dividing the sum of the annual principal and interest payment into that year's operating cash flow. Lenders will require the DSCR to demonstrate the project's ability to easily meet its annual debt service obligation.
</t>
        </r>
        <r>
          <rPr>
            <u/>
            <sz val="14"/>
            <color indexed="81"/>
            <rFont val="Tahoma"/>
            <family val="2"/>
          </rPr>
          <t>Average</t>
        </r>
        <r>
          <rPr>
            <sz val="14"/>
            <color indexed="81"/>
            <rFont val="Tahoma"/>
            <family val="2"/>
          </rPr>
          <t xml:space="preserve"> DSCRs over the life of the loan typically range from 1.2 to 1.5 for private, commercially financed projects, or from 1.1 to 1.3 for publicly owned, bond-financed projects - depending on the level of reserves, or other surety, provided. The input will vary by site and but will generally fall between 1.0 and 1.3
The </t>
        </r>
        <r>
          <rPr>
            <u/>
            <sz val="14"/>
            <color indexed="81"/>
            <rFont val="Tahoma"/>
            <family val="2"/>
          </rPr>
          <t>annual minimum</t>
        </r>
        <r>
          <rPr>
            <sz val="14"/>
            <color indexed="81"/>
            <rFont val="Tahoma"/>
            <family val="2"/>
          </rPr>
          <t xml:space="preserve"> DSCR will depend on the specific terms of the loan and the probability-weighting of the production estimate, but will likely be in the range of 1.3 to 1.5. This input must be greater than 1.
</t>
        </r>
      </text>
    </comment>
    <comment ref="H58" authorId="1" shapeId="0" xr:uid="{00000000-0006-0000-0100-00004A000000}">
      <text>
        <r>
          <rPr>
            <b/>
            <sz val="14"/>
            <color indexed="81"/>
            <rFont val="Tahoma"/>
            <family val="2"/>
          </rPr>
          <t>Note:</t>
        </r>
        <r>
          <rPr>
            <sz val="14"/>
            <color indexed="81"/>
            <rFont val="Tahoma"/>
            <family val="2"/>
          </rPr>
          <t xml:space="preserve">
Quantity of switchgrass utilized - measured in tons per year.
This value will be site specific.
</t>
        </r>
      </text>
    </comment>
    <comment ref="Q58" authorId="0" shapeId="0" xr:uid="{00000000-0006-0000-0100-000077000000}">
      <text>
        <r>
          <rPr>
            <b/>
            <sz val="12"/>
            <color indexed="81"/>
            <rFont val="Tahoma"/>
            <family val="2"/>
          </rPr>
          <t>Note:</t>
        </r>
        <r>
          <rPr>
            <sz val="12"/>
            <color indexed="81"/>
            <rFont val="Tahoma"/>
            <family val="2"/>
          </rPr>
          <t xml:space="preserve">
If "#N/A" appears, F9 should be pressed until the calculated COE achieves it's final value.</t>
        </r>
      </text>
    </comment>
    <comment ref="Q59" authorId="1" shapeId="0" xr:uid="{00000000-0006-0000-0100-000079000000}">
      <text>
        <r>
          <rPr>
            <b/>
            <sz val="14"/>
            <color indexed="81"/>
            <rFont val="Tahoma"/>
            <family val="2"/>
          </rPr>
          <t>Note:</t>
        </r>
        <r>
          <rPr>
            <sz val="14"/>
            <color indexed="81"/>
            <rFont val="Tahoma"/>
            <family val="2"/>
          </rPr>
          <t xml:space="preserve">
This cell checks that the average debt service coverage ratio exceeds the user-defined minimum during the period for which debt is outstanding (see note in DSCR cell for definition and rationale for DSCR). If the test "fails", the user must choose from one of several options in order to cure this deficiency (the extent to which these options are available will be specific to each project):
1. reduce the amount of project level debt, 
2. increase the feed-in tariff rate in order to generate cash flow sufficient to meet the bank's assumed coverage requirement.  In the CREST model, </t>
        </r>
        <r>
          <rPr>
            <u/>
            <sz val="14"/>
            <color indexed="81"/>
            <rFont val="Tahoma"/>
            <family val="2"/>
          </rPr>
          <t>this is done by manually increasing the "Target After-Tax Equity IRR."</t>
        </r>
        <r>
          <rPr>
            <sz val="14"/>
            <color indexed="81"/>
            <rFont val="Tahoma"/>
            <family val="2"/>
          </rPr>
          <t xml:space="preserve">
Other possible, but less likely, mechanisms include:
3. increase the loan tenor
4. decrease the interest rate</t>
        </r>
      </text>
    </comment>
    <comment ref="F60" authorId="0" shapeId="0" xr:uid="{00000000-0006-0000-0100-00005F000000}">
      <text>
        <r>
          <rPr>
            <b/>
            <sz val="8"/>
            <color indexed="81"/>
            <rFont val="Tahoma"/>
            <family val="2"/>
          </rPr>
          <t>See "unit" definitions at the bottom of this worksheet.</t>
        </r>
        <r>
          <rPr>
            <sz val="8"/>
            <color indexed="81"/>
            <rFont val="Tahoma"/>
            <family val="2"/>
          </rPr>
          <t xml:space="preserve">
</t>
        </r>
      </text>
    </comment>
    <comment ref="H61" authorId="0" shapeId="0" xr:uid="{00000000-0006-0000-0100-000060000000}">
      <text>
        <r>
          <rPr>
            <b/>
            <sz val="14"/>
            <color indexed="81"/>
            <rFont val="Tahoma"/>
            <family val="2"/>
          </rPr>
          <t xml:space="preserve">Note:
</t>
        </r>
        <r>
          <rPr>
            <sz val="14"/>
            <color indexed="81"/>
            <rFont val="Tahoma"/>
            <family val="2"/>
          </rPr>
          <t>The # of months from construction start to commercial operation. This input cannot be less than zero.
This value will be site specific but reasonable inputs are likely to fall in the range of 6-12</t>
        </r>
      </text>
    </comment>
    <comment ref="O61" authorId="0" shapeId="0" xr:uid="{00000000-0006-0000-0100-000089000000}">
      <text>
        <r>
          <rPr>
            <b/>
            <sz val="8"/>
            <color indexed="81"/>
            <rFont val="Tahoma"/>
            <family val="2"/>
          </rPr>
          <t>See "unit" definitions at the bottom of this worksheet.</t>
        </r>
        <r>
          <rPr>
            <sz val="8"/>
            <color indexed="81"/>
            <rFont val="Tahoma"/>
            <family val="2"/>
          </rPr>
          <t xml:space="preserve">
</t>
        </r>
      </text>
    </comment>
    <comment ref="H62" authorId="0" shapeId="0" xr:uid="{00000000-0006-0000-0100-000062000000}">
      <text>
        <r>
          <rPr>
            <b/>
            <sz val="14"/>
            <color indexed="81"/>
            <rFont val="Tahoma"/>
            <family val="2"/>
          </rPr>
          <t xml:space="preserve">Note:
</t>
        </r>
        <r>
          <rPr>
            <sz val="14"/>
            <color indexed="81"/>
            <rFont val="Tahoma"/>
            <family val="2"/>
          </rPr>
          <t>The annual interest rate on construction debt. This input cannot be less than zero.
This value will be site specific but reasonable inputs are likely to fall in the range of 3-10%</t>
        </r>
      </text>
    </comment>
    <comment ref="Q62" authorId="0" shapeId="0" xr:uid="{00000000-0006-0000-0100-00008B000000}">
      <text>
        <r>
          <rPr>
            <b/>
            <sz val="14"/>
            <color indexed="81"/>
            <rFont val="Tahoma"/>
            <family val="2"/>
          </rPr>
          <t xml:space="preserve">Note:
</t>
        </r>
        <r>
          <rPr>
            <sz val="14"/>
            <color indexed="81"/>
            <rFont val="Tahoma"/>
            <family val="2"/>
          </rPr>
          <t xml:space="preserve">Defines whether the project owner is a taxable or non-taxable entity. This determines the treatment of income taxes and other tax-related items.
</t>
        </r>
      </text>
    </comment>
    <comment ref="H63" authorId="0" shapeId="0" xr:uid="{00000000-0006-0000-0100-000064000000}">
      <text>
        <r>
          <rPr>
            <b/>
            <sz val="14"/>
            <color indexed="81"/>
            <rFont val="Tahoma"/>
            <family val="2"/>
          </rPr>
          <t xml:space="preserve">Note:
</t>
        </r>
        <r>
          <rPr>
            <sz val="14"/>
            <color indexed="81"/>
            <rFont val="Tahoma"/>
            <family val="2"/>
          </rPr>
          <t xml:space="preserve">A calculated value showing the interest accrued during the construction period. Rather than requiring the user to define a detailed construction draw-down schedule, this calculation makes the simplifying assumption that the total project cost is spent in equal parts in each month of the construction period.
IDC is calculated on total project cost, assuming that any grants are collected after construction financing is repaid at time of permanent financing.
This cell is only used with the "Intermediate" and "Complex" capital cost options. The "Simple" capital cost option assumes that all project costs, including IDC, are included in the single input.
</t>
        </r>
      </text>
    </comment>
    <comment ref="Q63" authorId="0" shapeId="0" xr:uid="{00000000-0006-0000-0100-00008D000000}">
      <text>
        <r>
          <rPr>
            <b/>
            <sz val="14"/>
            <color indexed="81"/>
            <rFont val="Tahoma"/>
            <family val="2"/>
          </rPr>
          <t xml:space="preserve">Note:
</t>
        </r>
        <r>
          <rPr>
            <sz val="14"/>
            <color indexed="81"/>
            <rFont val="Tahoma"/>
            <family val="2"/>
          </rPr>
          <t xml:space="preserve">Defines the project's federal income tax rate, if applicable.
Input cannot be less than zero.
</t>
        </r>
      </text>
    </comment>
    <comment ref="Q64" authorId="0" shapeId="0" xr:uid="{00000000-0006-0000-0100-00008F000000}">
      <text>
        <r>
          <rPr>
            <b/>
            <sz val="14"/>
            <color indexed="81"/>
            <rFont val="Tahoma"/>
            <family val="2"/>
          </rPr>
          <t xml:space="preserve">Note:
</t>
        </r>
        <r>
          <rPr>
            <sz val="14"/>
            <color indexed="81"/>
            <rFont val="Tahoma"/>
            <family val="2"/>
          </rPr>
          <t xml:space="preserve">Defines whether depreciation and PTC benefits are monetized in the period in which they are generated ("as generated" option) or whether these benefits must be delayed until the project has sufficient tax liability to use these benefits without relying on a 3rd-party investor with tax liability external to the project ("carried forward" method).
</t>
        </r>
      </text>
    </comment>
    <comment ref="F65" authorId="0" shapeId="0" xr:uid="{00000000-0006-0000-0100-000067000000}">
      <text>
        <r>
          <rPr>
            <b/>
            <sz val="8"/>
            <color indexed="81"/>
            <rFont val="Tahoma"/>
            <family val="2"/>
          </rPr>
          <t>See "unit" definitions at the bottom of this worksheet.</t>
        </r>
        <r>
          <rPr>
            <sz val="8"/>
            <color indexed="81"/>
            <rFont val="Tahoma"/>
            <family val="2"/>
          </rPr>
          <t xml:space="preserve">
</t>
        </r>
      </text>
    </comment>
    <comment ref="Q65" authorId="0" shapeId="0" xr:uid="{00000000-0006-0000-0100-000090000000}">
      <text>
        <r>
          <rPr>
            <b/>
            <sz val="14"/>
            <color indexed="81"/>
            <rFont val="Tahoma"/>
            <family val="2"/>
          </rPr>
          <t xml:space="preserve">Note:
</t>
        </r>
        <r>
          <rPr>
            <sz val="14"/>
            <color indexed="81"/>
            <rFont val="Tahoma"/>
            <family val="2"/>
          </rPr>
          <t xml:space="preserve">Defines the project's state income tax rate, if applicable.
Input cannot be less than zero.
</t>
        </r>
      </text>
    </comment>
    <comment ref="H66" authorId="1" shapeId="0" xr:uid="{2C3F89D2-37AF-4A2C-8726-D7E17DD4216E}">
      <text>
        <r>
          <rPr>
            <b/>
            <sz val="14"/>
            <color indexed="81"/>
            <rFont val="Tahoma"/>
            <family val="2"/>
          </rPr>
          <t>Note:</t>
        </r>
        <r>
          <rPr>
            <sz val="14"/>
            <color indexed="81"/>
            <rFont val="Tahoma"/>
            <family val="2"/>
          </rPr>
          <t xml:space="preserve">
Enter the terms of any loan received for the project.</t>
        </r>
      </text>
    </comment>
    <comment ref="Q66" authorId="0" shapeId="0" xr:uid="{00000000-0006-0000-0100-000091000000}">
      <text>
        <r>
          <rPr>
            <b/>
            <sz val="14"/>
            <color indexed="81"/>
            <rFont val="Tahoma"/>
            <family val="2"/>
          </rPr>
          <t xml:space="preserve">Note:
</t>
        </r>
        <r>
          <rPr>
            <sz val="14"/>
            <color indexed="81"/>
            <rFont val="Tahoma"/>
            <family val="2"/>
          </rPr>
          <t xml:space="preserve">Defines whether depreciation and PTC benefits are monetized in the period in which they are generated ("as generated" option) or whether these benefits must be delayed until the project has sufficient tax liability to use these benefits without relying on a 3rd-party investor with tax liability external to the project ("carried forward" method).
</t>
        </r>
      </text>
    </comment>
    <comment ref="H67" authorId="1" shapeId="0" xr:uid="{5ADC5C5A-0430-4318-B7E0-03F103D579AC}">
      <text>
        <r>
          <rPr>
            <b/>
            <sz val="14"/>
            <color indexed="81"/>
            <rFont val="Tahoma"/>
            <family val="2"/>
          </rPr>
          <t>Note:</t>
        </r>
        <r>
          <rPr>
            <sz val="14"/>
            <color indexed="81"/>
            <rFont val="Tahoma"/>
            <family val="2"/>
          </rPr>
          <t xml:space="preserve">
Enter the terms of any loan received for the project.</t>
        </r>
      </text>
    </comment>
    <comment ref="Q67" authorId="0" shapeId="0" xr:uid="{00000000-0006-0000-0100-000093000000}">
      <text>
        <r>
          <rPr>
            <b/>
            <sz val="14"/>
            <color indexed="81"/>
            <rFont val="Tahoma"/>
            <family val="2"/>
          </rPr>
          <t xml:space="preserve">Note:
</t>
        </r>
        <r>
          <rPr>
            <sz val="14"/>
            <color indexed="81"/>
            <rFont val="Tahoma"/>
            <family val="2"/>
          </rPr>
          <t xml:space="preserve">Takes into account the interaction between federal and state tax rates. This is a calculated value.
</t>
        </r>
      </text>
    </comment>
    <comment ref="H68" authorId="1" shapeId="0" xr:uid="{C3448ADA-5773-417F-A145-46856923A009}">
      <text>
        <r>
          <rPr>
            <b/>
            <sz val="14"/>
            <color indexed="81"/>
            <rFont val="Tahoma"/>
            <family val="2"/>
          </rPr>
          <t>Note:</t>
        </r>
        <r>
          <rPr>
            <sz val="14"/>
            <color indexed="81"/>
            <rFont val="Tahoma"/>
            <family val="2"/>
          </rPr>
          <t xml:space="preserve">
Enter the terms of any loan received for the project.</t>
        </r>
      </text>
    </comment>
    <comment ref="Q68" authorId="0" shapeId="0" xr:uid="{00000000-0006-0000-0100-000092000000}">
      <text>
        <r>
          <rPr>
            <b/>
            <sz val="14"/>
            <color indexed="81"/>
            <rFont val="Tahoma"/>
            <family val="2"/>
          </rPr>
          <t>Note:</t>
        </r>
        <r>
          <rPr>
            <sz val="14"/>
            <color indexed="81"/>
            <rFont val="Tahoma"/>
            <family val="2"/>
          </rPr>
          <t xml:space="preserve">
To qualify for Bonus Depreciation the property must have a recovery period of 20 years or less (under normal federal tax depreciation rules), and the project must commence operation in the year in which bonus depreciation is in effect and under the ownership of the entity claiming the deduction. 
For qualifying projects, the owner is entitled to deduct 50% of the adjusted basis of the property during the tax year the property is first placed in service. The remaining 50% of the adjusted basis of the property is depreciated over the ordinary MACRS depreciation schedule. The bonus depreciation rules do not override the depreciation limit applicable to projects qualifying for the federal ITC. Before calculating depreciation for such a project, including any bonus depreciation, the adjusted basis of the project must be reduced by one-half of the amount of the ITC for which the project qualifies. 
</t>
        </r>
      </text>
    </comment>
    <comment ref="H69" authorId="0" shapeId="0" xr:uid="{00000000-0006-0000-0100-00006D000000}">
      <text>
        <r>
          <rPr>
            <b/>
            <sz val="14"/>
            <color indexed="81"/>
            <rFont val="Tahoma"/>
            <family val="2"/>
          </rPr>
          <t xml:space="preserve">Note:
</t>
        </r>
        <r>
          <rPr>
            <sz val="14"/>
            <color indexed="81"/>
            <rFont val="Tahoma"/>
            <family val="2"/>
          </rPr>
          <t>A one-time fee collected by the lender and calculated as a % of the total loan amount. This value is typically between 1% and 4%.
This input cannot be less than zero.
This value will be site specific but reasonable inputs are likely to fall in the range of 1.0-5.0%</t>
        </r>
      </text>
    </comment>
    <comment ref="Q69" authorId="0" shapeId="0" xr:uid="{00000000-0006-0000-0100-000094000000}">
      <text>
        <r>
          <rPr>
            <b/>
            <sz val="14"/>
            <color indexed="81"/>
            <rFont val="Tahoma"/>
            <family val="2"/>
          </rPr>
          <t>Note:</t>
        </r>
        <r>
          <rPr>
            <sz val="14"/>
            <color indexed="81"/>
            <rFont val="Tahoma"/>
            <family val="2"/>
          </rPr>
          <t xml:space="preserve">
This input allows the user to define the bonus depreciation % applied in Year 1, if applicable.  Historically, federal bonus depreciation has been 50% of the eligible cost basis (after taking into account reductions in such cost basis for the ITC, if applicable).  
Input cannot be less than zero.
</t>
        </r>
      </text>
    </comment>
    <comment ref="H70" authorId="0" shapeId="0" xr:uid="{098B8831-EDED-4F6A-A6DC-2DEBC73255C7}">
      <text>
        <r>
          <rPr>
            <b/>
            <sz val="14"/>
            <color indexed="81"/>
            <rFont val="Tahoma"/>
            <family val="2"/>
          </rPr>
          <t xml:space="preserve">Note:
</t>
        </r>
        <r>
          <rPr>
            <sz val="14"/>
            <color indexed="81"/>
            <rFont val="Tahoma"/>
            <family val="2"/>
          </rPr>
          <t>A one-time fee collected by the lender and calculated as a % of the total loan amount. This value is typically between 1% and 4%.
This input cannot be less than zero.
This value will be site specific but reasonable inputs are likely to fall in the range of 1.0-5.0%</t>
        </r>
      </text>
    </comment>
    <comment ref="Q70" authorId="0" shapeId="0" xr:uid="{00000000-0006-0000-0100-000095000000}">
      <text>
        <r>
          <rPr>
            <b/>
            <sz val="14"/>
            <color indexed="81"/>
            <rFont val="Tahoma"/>
            <family val="2"/>
          </rPr>
          <t xml:space="preserve">Note:
</t>
        </r>
        <r>
          <rPr>
            <sz val="14"/>
            <color indexed="81"/>
            <rFont val="Tahoma"/>
            <family val="2"/>
          </rPr>
          <t>Depreciation accounts for the "use" of equipment for tax purposes. The depreciation inputs are provided in the table to the right and on the Complex Capital Costs tab when this option is selected.</t>
        </r>
      </text>
    </comment>
    <comment ref="H71" authorId="0" shapeId="0" xr:uid="{00000000-0006-0000-0100-00007F000000}">
      <text>
        <r>
          <rPr>
            <b/>
            <sz val="14"/>
            <color indexed="81"/>
            <rFont val="Tahoma"/>
            <family val="2"/>
          </rPr>
          <t xml:space="preserve">Note:
</t>
        </r>
        <r>
          <rPr>
            <sz val="14"/>
            <color indexed="81"/>
            <rFont val="Tahoma"/>
            <family val="2"/>
          </rPr>
          <t>This cell represents the costs of both equity and debt due diligence (if applicable) and other transaction costs.
Input cannot be less than zero.</t>
        </r>
      </text>
    </comment>
    <comment ref="Q71" authorId="1" shapeId="0" xr:uid="{7D3EE819-C8F5-4E28-AE7F-C7B7AAFD2112}">
      <text>
        <r>
          <rPr>
            <b/>
            <sz val="14"/>
            <color indexed="81"/>
            <rFont val="Tahoma"/>
            <family val="2"/>
          </rPr>
          <t>Note:</t>
        </r>
        <r>
          <rPr>
            <sz val="14"/>
            <color indexed="81"/>
            <rFont val="Tahoma"/>
            <family val="2"/>
          </rPr>
          <t xml:space="preserve">
This is normally based on the marginal rate, or the federal tax bracket that the farm's income places it in.</t>
        </r>
      </text>
    </comment>
    <comment ref="H72" authorId="0" shapeId="0" xr:uid="{00000000-0006-0000-0100-000082000000}">
      <text>
        <r>
          <rPr>
            <b/>
            <sz val="14"/>
            <color indexed="81"/>
            <rFont val="Tahoma"/>
            <family val="2"/>
          </rPr>
          <t xml:space="preserve">NOTE:
</t>
        </r>
        <r>
          <rPr>
            <sz val="14"/>
            <color indexed="81"/>
            <rFont val="Tahoma"/>
            <family val="2"/>
          </rPr>
          <t xml:space="preserve">The "sources of funding" cells summarize the amount of capital contributed from equity, debt and grants, if applicable. The sum is the same at the project's "Total Installed Cost."  The percentage is less than the % Debt line above because the denominator includes the soft costs.
</t>
        </r>
      </text>
    </comment>
    <comment ref="Q72" authorId="1" shapeId="0" xr:uid="{4ABB6B19-2E53-4CB2-804D-7C626A84F304}">
      <text>
        <r>
          <rPr>
            <b/>
            <sz val="14"/>
            <color indexed="81"/>
            <rFont val="Tahoma"/>
            <family val="2"/>
          </rPr>
          <t>Note:</t>
        </r>
        <r>
          <rPr>
            <sz val="14"/>
            <color indexed="81"/>
            <rFont val="Tahoma"/>
            <family val="2"/>
          </rPr>
          <t xml:space="preserve">
This is normally based on the marginal rate, or the Pennsylvania or other state tax bracket that the farm's income places it in.</t>
        </r>
      </text>
    </comment>
    <comment ref="H76" authorId="1" shapeId="0" xr:uid="{00000000-0006-0000-0100-000085000000}">
      <text>
        <r>
          <rPr>
            <b/>
            <sz val="14"/>
            <color indexed="81"/>
            <rFont val="Tahoma"/>
            <family val="2"/>
          </rPr>
          <t xml:space="preserve">Note:
</t>
        </r>
        <r>
          <rPr>
            <sz val="14"/>
            <color indexed="81"/>
            <rFont val="Tahoma"/>
            <family val="2"/>
          </rPr>
          <t xml:space="preserve">This cell calculates the total of all applicable grants, excluding the payment in lieu of the Federal ITC (also known as the ITC Cash Grant, or Cash Grant), if applicable.  The ITC Cash Grant is considered separately because unlike grants issued upfront and used to offset capital costs, the ITC Cash Grant is disbursed approxiamtely 60 days after the start of commercial operations and therefore becomes an integral part of the project's financing.
Where grants are treated as taxable income, this cell calculates the after-tax impact on the total cost of the project.
  </t>
        </r>
        <r>
          <rPr>
            <sz val="8"/>
            <color indexed="81"/>
            <rFont val="Tahoma"/>
            <family val="2"/>
          </rPr>
          <t xml:space="preserve">
</t>
        </r>
      </text>
    </comment>
    <comment ref="H77" authorId="0" shapeId="0" xr:uid="{00000000-0006-0000-0100-000084000000}">
      <text>
        <r>
          <rPr>
            <b/>
            <sz val="14"/>
            <color indexed="81"/>
            <rFont val="Tahoma"/>
            <family val="2"/>
          </rPr>
          <t xml:space="preserve">NOTE:
</t>
        </r>
        <r>
          <rPr>
            <sz val="14"/>
            <color indexed="81"/>
            <rFont val="Tahoma"/>
            <family val="2"/>
          </rPr>
          <t xml:space="preserve">The "sources of funding" cells summarize the amount of capital contributed from equity, debt and grants, if applicable. The sum is the same as the project's "Total Installed Cost."
</t>
        </r>
      </text>
    </comment>
    <comment ref="H78" authorId="0" shapeId="0" xr:uid="{00000000-0006-0000-0100-000087000000}">
      <text>
        <r>
          <rPr>
            <b/>
            <sz val="14"/>
            <color indexed="81"/>
            <rFont val="Tahoma"/>
            <family val="2"/>
          </rPr>
          <t xml:space="preserve">NOTE:
</t>
        </r>
        <r>
          <rPr>
            <sz val="14"/>
            <color indexed="81"/>
            <rFont val="Tahoma"/>
            <family val="2"/>
          </rPr>
          <t xml:space="preserve">The "sources of funding" cells summarize the amount of capital contributed from equity, debt and grants, if applicable. The sum is the same as the project's "Total Installed Cost."
</t>
        </r>
      </text>
    </comment>
    <comment ref="H80" authorId="1" shapeId="0" xr:uid="{A95D0133-86D5-4125-91AC-A7B1BD402017}">
      <text>
        <r>
          <rPr>
            <b/>
            <sz val="14"/>
            <color indexed="81"/>
            <rFont val="Tahoma"/>
            <family val="2"/>
          </rPr>
          <t>Note:</t>
        </r>
        <r>
          <rPr>
            <sz val="14"/>
            <color indexed="81"/>
            <rFont val="Tahoma"/>
            <family val="2"/>
          </rPr>
          <t xml:space="preserve">
This is the rate of return that the farm operator requires from the project for it to be considered "successful".  This rate can be based on various criteria such as what this capital would earn elsewhere in the farm business, as well as on how risky this project is considered to be.</t>
        </r>
      </text>
    </comment>
    <comment ref="Z95" authorId="0" shapeId="0" xr:uid="{00000000-0006-0000-0100-000096000000}">
      <text>
        <r>
          <rPr>
            <b/>
            <sz val="14"/>
            <color indexed="81"/>
            <rFont val="Tahoma"/>
            <family val="2"/>
          </rPr>
          <t>Note:</t>
        </r>
        <r>
          <rPr>
            <sz val="14"/>
            <color indexed="81"/>
            <rFont val="Tahoma"/>
            <family val="2"/>
          </rPr>
          <t xml:space="preserve">
When the "Simple" capital cost option is selected, the depreciation of total project costs is divided among the classifications using this row. The depreciation options associated with other levels of cost detail will be hidden.
</t>
        </r>
        <r>
          <rPr>
            <b/>
            <sz val="14"/>
            <color indexed="81"/>
            <rFont val="Tahoma"/>
            <family val="2"/>
          </rPr>
          <t xml:space="preserve">This row must sum to 100%.
</t>
        </r>
      </text>
    </comment>
    <comment ref="Z96" authorId="0" shapeId="0" xr:uid="{00000000-0006-0000-0100-000097000000}">
      <text>
        <r>
          <rPr>
            <b/>
            <sz val="14"/>
            <color indexed="81"/>
            <rFont val="Tahoma"/>
            <family val="2"/>
          </rPr>
          <t>Note:</t>
        </r>
        <r>
          <rPr>
            <sz val="14"/>
            <color indexed="81"/>
            <rFont val="Tahoma"/>
            <family val="2"/>
          </rPr>
          <t xml:space="preserve">
When the "Intermediate" capital cost option is selected, the allocation of the specified cost category across the depreciation classifications is done using this row. The depreciation options associated with other levels of cost detail will be hidden.
</t>
        </r>
        <r>
          <rPr>
            <b/>
            <sz val="14"/>
            <color indexed="81"/>
            <rFont val="Tahoma"/>
            <family val="2"/>
          </rPr>
          <t xml:space="preserve">This row must sum to 100%.
</t>
        </r>
      </text>
    </comment>
    <comment ref="Z97" authorId="0" shapeId="0" xr:uid="{00000000-0006-0000-0100-000098000000}">
      <text>
        <r>
          <rPr>
            <b/>
            <sz val="14"/>
            <color indexed="81"/>
            <rFont val="Tahoma"/>
            <family val="2"/>
          </rPr>
          <t>Note:</t>
        </r>
        <r>
          <rPr>
            <sz val="14"/>
            <color indexed="81"/>
            <rFont val="Tahoma"/>
            <family val="2"/>
          </rPr>
          <t xml:space="preserve">
When the "Intermediate" capital cost option is selected, the allocation of the specified cost category across the depreciation classifications is done using this row. The depreciation options associated with other levels of cost detail will be hidden.
</t>
        </r>
        <r>
          <rPr>
            <b/>
            <sz val="14"/>
            <color indexed="81"/>
            <rFont val="Tahoma"/>
            <family val="2"/>
          </rPr>
          <t xml:space="preserve">This row must sum to 100%.
</t>
        </r>
      </text>
    </comment>
    <comment ref="Z98" authorId="0" shapeId="0" xr:uid="{00000000-0006-0000-0100-000099000000}">
      <text>
        <r>
          <rPr>
            <b/>
            <sz val="14"/>
            <color indexed="81"/>
            <rFont val="Tahoma"/>
            <family val="2"/>
          </rPr>
          <t>Note:</t>
        </r>
        <r>
          <rPr>
            <sz val="14"/>
            <color indexed="81"/>
            <rFont val="Tahoma"/>
            <family val="2"/>
          </rPr>
          <t xml:space="preserve">
When the "Intermediate" capital cost option is selected, the allocation of the specified cost category across the depreciation classifications is done using this row. The depreciation options associated with other levels of cost detail will be hidden.
</t>
        </r>
        <r>
          <rPr>
            <b/>
            <sz val="14"/>
            <color indexed="81"/>
            <rFont val="Tahoma"/>
            <family val="2"/>
          </rPr>
          <t xml:space="preserve">This row must sum to 100%.
</t>
        </r>
      </text>
    </comment>
    <comment ref="Z99" authorId="0" shapeId="0" xr:uid="{00000000-0006-0000-0100-00009A000000}">
      <text>
        <r>
          <rPr>
            <b/>
            <sz val="14"/>
            <color indexed="81"/>
            <rFont val="Tahoma"/>
            <family val="2"/>
          </rPr>
          <t>Note:</t>
        </r>
        <r>
          <rPr>
            <sz val="14"/>
            <color indexed="81"/>
            <rFont val="Tahoma"/>
            <family val="2"/>
          </rPr>
          <t xml:space="preserve">
When the "Intermediate" capital cost option is selected, the allocation of the specified cost category across the depreciation classifications is done using this row. The depreciation options associated with other levels of cost detail will be hidden.
</t>
        </r>
        <r>
          <rPr>
            <b/>
            <sz val="14"/>
            <color indexed="81"/>
            <rFont val="Tahoma"/>
            <family val="2"/>
          </rPr>
          <t xml:space="preserve">This row must sum to 100%.
</t>
        </r>
      </text>
    </comment>
    <comment ref="Z100" authorId="0" shapeId="0" xr:uid="{00000000-0006-0000-0100-00009B000000}">
      <text>
        <r>
          <rPr>
            <b/>
            <sz val="14"/>
            <color indexed="81"/>
            <rFont val="Tahoma"/>
            <family val="2"/>
          </rPr>
          <t>Note:</t>
        </r>
        <r>
          <rPr>
            <sz val="14"/>
            <color indexed="81"/>
            <rFont val="Tahoma"/>
            <family val="2"/>
          </rPr>
          <t xml:space="preserve">
When the "Intermediate" capital cost option is selected, the allocation of the specified cost category across the depreciation classifications is done using this row. The depreciation options associated with other levels of cost detail will be hidden.
</t>
        </r>
        <r>
          <rPr>
            <b/>
            <sz val="14"/>
            <color indexed="81"/>
            <rFont val="Tahoma"/>
            <family val="2"/>
          </rPr>
          <t xml:space="preserve">This row must sum to 100%.
</t>
        </r>
      </text>
    </comment>
    <comment ref="Z101" authorId="0" shapeId="0" xr:uid="{00000000-0006-0000-0100-00009C000000}">
      <text>
        <r>
          <rPr>
            <b/>
            <sz val="14"/>
            <color indexed="81"/>
            <rFont val="Tahoma"/>
            <family val="2"/>
          </rPr>
          <t>Note:</t>
        </r>
        <r>
          <rPr>
            <sz val="14"/>
            <color indexed="81"/>
            <rFont val="Tahoma"/>
            <family val="2"/>
          </rPr>
          <t xml:space="preserve">
When the "Complex" capital cost option is selected, each line items is assigned its own depreciation classification using a drop-down menu on the Complex Capital Costs tab.
</t>
        </r>
      </text>
    </comment>
    <comment ref="O146" authorId="0" shapeId="0" xr:uid="{00000000-0006-0000-0100-000006000000}">
      <text>
        <r>
          <rPr>
            <b/>
            <sz val="8"/>
            <color indexed="81"/>
            <rFont val="Tahoma"/>
            <family val="2"/>
          </rPr>
          <t>See "unit" definitions at the bottom of this worksheet.</t>
        </r>
        <r>
          <rPr>
            <sz val="8"/>
            <color indexed="81"/>
            <rFont val="Tahoma"/>
            <family val="2"/>
          </rPr>
          <t xml:space="preserve">
</t>
        </r>
      </text>
    </comment>
    <comment ref="Q156" authorId="1" shapeId="0" xr:uid="{7A421771-A7E5-4EF6-98C3-80493AAEAF7B}">
      <text>
        <r>
          <rPr>
            <b/>
            <sz val="14"/>
            <color indexed="81"/>
            <rFont val="Tahoma"/>
            <family val="2"/>
          </rPr>
          <t>Note:</t>
        </r>
        <r>
          <rPr>
            <sz val="14"/>
            <color indexed="81"/>
            <rFont val="Tahoma"/>
            <family val="2"/>
          </rPr>
          <t xml:space="preserve">
The target after-tax equity IRR is the equity investor's cost of capital -- or "discount rate" -- and is the minimum rate of return that the project owner will seek to attain in order to justify the project compared to alternative investments.  The CREST model assumes a single equity investor taking both cash and tax benefits.  As a result, the target after-tax equity IRR entered here should represent a blend of expected returns for both cash and tax equity investments.
The user should be explicit in his or her assumption regarding the term over which the target after-tax IRR is assumed to be realized. For example, the user could elect to align the return requirement with the tariff payment duration. In this case, the project useful life should be set equal to the tariff duration in order to calculate the Cost of Energy (COE) associated with the target IRR over that period of time. 
In a second example, the user could elect to align the return requirement with the project's useful life. In this case, the user can either assume a tariff duration equal to the project life, or assume market-based revenue for the period after the tariff and before the end of the assumed project useful life.
This input cannot be less than zero.
If a project is expected to be funded either by a pool of corporate funds or back-leveraged after commercial operation, the user might elect to enter 0% in the "% Debt" cell and enter a weighted average cost of capital (WACC) in the "Target After-Tax Equity IRR" cell.
This value will be site specific but reasonable inputs are likely to fall in the range of 5%-20%</t>
        </r>
      </text>
    </comment>
    <comment ref="Q157" authorId="1" shapeId="0" xr:uid="{A72EDC8C-867B-4DC1-BA0A-66E66E32A4FD}">
      <text>
        <r>
          <rPr>
            <b/>
            <sz val="14"/>
            <color indexed="81"/>
            <rFont val="Tahoma"/>
            <family val="2"/>
          </rPr>
          <t>Note:</t>
        </r>
        <r>
          <rPr>
            <sz val="14"/>
            <color indexed="81"/>
            <rFont val="Tahoma"/>
            <family val="2"/>
          </rPr>
          <t xml:space="preserve">
The all-in interest rate is the financing rate provided by the bank or other debt investor.
This input cannot be less than zero.
This value will be site specific but reasonable inputs are likely to fall in the range of 4%-10%</t>
        </r>
      </text>
    </comment>
    <comment ref="Q158" authorId="1" shapeId="0" xr:uid="{00000000-0006-0000-0100-00006A000000}">
      <text>
        <r>
          <rPr>
            <b/>
            <sz val="14"/>
            <color indexed="81"/>
            <rFont val="Tahoma"/>
            <family val="2"/>
          </rPr>
          <t>Note:</t>
        </r>
        <r>
          <rPr>
            <sz val="14"/>
            <color indexed="81"/>
            <rFont val="Tahoma"/>
            <family val="2"/>
          </rPr>
          <t xml:space="preserve">
Debt "tenor" (also casually referred to as "term"), is the number of years in the debt repayment schedule.   
Caution: If the project will utilize debt, this value must be greater than zero but less than or equal to the total FIT contract duration.
This value will be site specific but reasonable inputs are likely to fall in the range of 10-20
</t>
        </r>
      </text>
    </comment>
    <comment ref="Q159" authorId="0" shapeId="0" xr:uid="{00000000-0006-0000-0100-000069000000}">
      <text>
        <r>
          <rPr>
            <b/>
            <sz val="14"/>
            <color indexed="81"/>
            <rFont val="Tahoma"/>
            <family val="2"/>
          </rPr>
          <t xml:space="preserve">Note:
</t>
        </r>
        <r>
          <rPr>
            <sz val="14"/>
            <color indexed="81"/>
            <rFont val="Tahoma"/>
            <family val="2"/>
          </rPr>
          <t xml:space="preserve">For ease of use and comprehension by a wide range of stakeholders, this model allows the user to define the capital structure, and relies on mortgage-style amortization of the project debt. The "% Debt" input specifies the portion of funds borrowed, as a percentage of the total "hard costs." Equity is assumed to fund the remaining hard costs PLUS all "soft costs" (e.g. transaction costs and funding of initial reserve accounts, if applicable).  This input cannot be less than zero.
Where maximum sustainable leverage is desired, the user must manually adjust the "% Debt" entry upward to the highest point </t>
        </r>
        <r>
          <rPr>
            <b/>
            <i/>
            <sz val="14"/>
            <color indexed="81"/>
            <rFont val="Tahoma"/>
            <family val="2"/>
          </rPr>
          <t>before</t>
        </r>
        <r>
          <rPr>
            <sz val="14"/>
            <color indexed="81"/>
            <rFont val="Tahoma"/>
            <family val="2"/>
          </rPr>
          <t xml:space="preserve"> the DSCRs no longer "Pass."
If a specific % Debt is desired, </t>
        </r>
        <r>
          <rPr>
            <u/>
            <sz val="14"/>
            <color indexed="81"/>
            <rFont val="Tahoma"/>
            <family val="2"/>
          </rPr>
          <t>and such % is higher than the maximum sustainable debt</t>
        </r>
        <r>
          <rPr>
            <sz val="14"/>
            <color indexed="81"/>
            <rFont val="Tahoma"/>
            <family val="2"/>
          </rPr>
          <t xml:space="preserve"> (such that it causes the DSCR to "Fail"), then the user must define the % Debt and then manually adjust the "Target After-Tax Equity IRR" upward until the DSCRs are met.  The user should </t>
        </r>
        <r>
          <rPr>
            <b/>
            <sz val="14"/>
            <color indexed="81"/>
            <rFont val="Tahoma"/>
            <family val="2"/>
          </rPr>
          <t>take note</t>
        </r>
        <r>
          <rPr>
            <sz val="14"/>
            <color indexed="81"/>
            <rFont val="Tahoma"/>
            <family val="2"/>
          </rPr>
          <t xml:space="preserve"> that when leverage becomes very high (and the corresponding equity contribution low), the "Target After-Tax Equity IRR" will need to be adjusted to levels exceeding typical commercial returns </t>
        </r>
        <r>
          <rPr>
            <u/>
            <sz val="14"/>
            <color indexed="81"/>
            <rFont val="Tahoma"/>
            <family val="2"/>
          </rPr>
          <t>in order to maintain the DSCR ratio</t>
        </r>
        <r>
          <rPr>
            <sz val="14"/>
            <color indexed="81"/>
            <rFont val="Tahoma"/>
            <family val="2"/>
          </rPr>
          <t xml:space="preserve"> on such high debt levels.  For this reason, it is not recommended that users solve for the Cost of Energy (COE) associated with a % Debt that is beyond the maximum sustainable leverage.
If a project is expected to be funded either by a pool of corporate funds or back-leveraged after commercial operation, the user might elect to enter 0% in the "% Debt" cell and enter a weighted average cost of capital (WACC) in the "Target After-Tax Equity IRR" cell.
This value will be site specific and will fall somewhere between 0 and 100%.
</t>
        </r>
      </text>
    </comment>
    <comment ref="Q160" authorId="1" shapeId="0" xr:uid="{00000000-0006-0000-0100-000038000000}">
      <text>
        <r>
          <rPr>
            <b/>
            <sz val="14"/>
            <color indexed="81"/>
            <rFont val="Tahoma"/>
            <family val="2"/>
          </rPr>
          <t>Note:</t>
        </r>
        <r>
          <rPr>
            <sz val="14"/>
            <color indexed="81"/>
            <rFont val="Tahoma"/>
            <family val="2"/>
          </rPr>
          <t xml:space="preserve">
If the user has obtained O&amp;M expense estimates from a third-party, it is critical to understand which costs have been included.
Routine O&amp;M would include - among others - the ongoing cost of obtaining daily, weekly or monthly production estimates based on weather and other factors.
Input value must be greater than zero.
</t>
        </r>
      </text>
    </comment>
    <comment ref="Q163" authorId="0" shapeId="0" xr:uid="{00000000-0006-0000-0100-00006C000000}">
      <text>
        <r>
          <rPr>
            <b/>
            <sz val="14"/>
            <color indexed="81"/>
            <rFont val="Tahoma"/>
            <family val="2"/>
          </rPr>
          <t>Note:</t>
        </r>
        <r>
          <rPr>
            <sz val="14"/>
            <color indexed="81"/>
            <rFont val="Tahoma"/>
            <family val="2"/>
          </rPr>
          <t xml:space="preserve">
These input cells allow for assumptions regarding the replacement of major equipment components, which are capitalized and depreciated rather than expensed as annual O&amp;M.   
Caution: Modelers should take into account the assumed contract duration and the project's useful life when considering whether to assume equipment replacements in the latter years of this analysis. 
Inputs should be greater than zero and less than the Project Useful Life.
</t>
        </r>
      </text>
    </comment>
    <comment ref="Q164" authorId="0" shapeId="0" xr:uid="{00000000-0006-0000-0100-00006E000000}">
      <text>
        <r>
          <rPr>
            <b/>
            <sz val="14"/>
            <color indexed="81"/>
            <rFont val="Tahoma"/>
            <family val="2"/>
          </rPr>
          <t xml:space="preserve">Note:
</t>
        </r>
        <r>
          <rPr>
            <sz val="14"/>
            <color indexed="81"/>
            <rFont val="Tahoma"/>
            <family val="2"/>
          </rPr>
          <t>The cost of (or even need for) major equipment replacements is difficult to assess, given that costs are attributable to an item that would be purchased many years from commercial operation. The input placed in this cell must be in nominal dollars -- reflecting the expected cost of the equipment in the year replaced. The model then reserves funds sufficient to pay for this replacement from operations in equal amounts until the year in which the replacement occurs.
Note: This model assumes that future equipment purchases will be depreciated on 5-yr MACRS basis.
Input must be greater than or equal to zero.</t>
        </r>
      </text>
    </comment>
    <comment ref="Q165" authorId="0" shapeId="0" xr:uid="{00000000-0006-0000-0100-000070000000}">
      <text>
        <r>
          <rPr>
            <b/>
            <sz val="14"/>
            <color indexed="81"/>
            <rFont val="Tahoma"/>
            <family val="2"/>
          </rPr>
          <t>Note:</t>
        </r>
        <r>
          <rPr>
            <sz val="14"/>
            <color indexed="81"/>
            <rFont val="Tahoma"/>
            <family val="2"/>
          </rPr>
          <t xml:space="preserve">
These input cells allow for assumptions regarding the replacement of major equipment components, which are capitalized and depreciated rather than expensed as annual O&amp;M.   
Caution: Modelers should take into account the assumed contract duration and the project's useful life when considering whether to assume equipment replacements in the latter years of this analysis. 
Inputs should be greater than zero and less than the Project Useful Life.
</t>
        </r>
      </text>
    </comment>
    <comment ref="Q166" authorId="0" shapeId="0" xr:uid="{00000000-0006-0000-0100-000072000000}">
      <text>
        <r>
          <rPr>
            <b/>
            <sz val="14"/>
            <color indexed="81"/>
            <rFont val="Tahoma"/>
            <family val="2"/>
          </rPr>
          <t xml:space="preserve">Note:
</t>
        </r>
        <r>
          <rPr>
            <sz val="14"/>
            <color indexed="81"/>
            <rFont val="Tahoma"/>
            <family val="2"/>
          </rPr>
          <t>The cost of (or even need for) major equipment replacements is difficult to assess, given that costs are attributable to an item that would be purchased many years from commercial operation. The input placed in this cell must be in nominal dollars -- reflecting the expected cost of the equipment in the year replaced. The model then reserves funds sufficient to pay for this replacement from operations in equal amounts until the year in which the replacement occurs.
Note: This model assumes that future equipment purchases will be depreciated on 5-yr MACRS basis.
Input must be greater than or equal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Tyler Leeds</author>
    <author>Jason Gifford</author>
    <author>William F Lazarus</author>
  </authors>
  <commentList>
    <comment ref="F3" authorId="0" shapeId="0" xr:uid="{F4A30746-187F-46FA-A611-B9F46380A3C9}">
      <text>
        <r>
          <rPr>
            <b/>
            <sz val="14"/>
            <color indexed="81"/>
            <rFont val="Tahoma"/>
            <family val="2"/>
          </rPr>
          <t>Note:</t>
        </r>
        <r>
          <rPr>
            <sz val="14"/>
            <color indexed="81"/>
            <rFont val="Tahoma"/>
            <family val="2"/>
          </rPr>
          <t xml:space="preserve">
Enter the amount of liquid manure you have calculated in your manure management plan.  </t>
        </r>
      </text>
    </comment>
    <comment ref="F4" authorId="0" shapeId="0" xr:uid="{F7E588AD-DA80-4B8A-839F-358C1D97C71C}">
      <text>
        <r>
          <rPr>
            <b/>
            <sz val="14"/>
            <color indexed="81"/>
            <rFont val="Tahoma"/>
            <family val="2"/>
          </rPr>
          <t>Note:</t>
        </r>
        <r>
          <rPr>
            <sz val="14"/>
            <color indexed="81"/>
            <rFont val="Tahoma"/>
            <family val="2"/>
          </rPr>
          <t xml:space="preserve">
This value will be site specific.
</t>
        </r>
      </text>
    </comment>
    <comment ref="F6" authorId="1" shapeId="0" xr:uid="{FC4EEED9-5C62-47E7-AA0F-4623CB82FEC8}">
      <text>
        <r>
          <rPr>
            <b/>
            <sz val="14"/>
            <color indexed="81"/>
            <rFont val="Tahoma"/>
            <family val="2"/>
          </rPr>
          <t xml:space="preserve">Note:
</t>
        </r>
        <r>
          <rPr>
            <sz val="14"/>
            <color indexed="81"/>
            <rFont val="Tahoma"/>
            <family val="2"/>
          </rPr>
          <t>A manure analysis will provide this information.  It is helpful in estimating the impact of digestion and solids separation on the volumes of digestate, filtrate, and separated solids.</t>
        </r>
      </text>
    </comment>
    <comment ref="F7" authorId="1" shapeId="0" xr:uid="{915AB2A3-451B-4960-9FD4-62106BA1CE11}">
      <text>
        <r>
          <rPr>
            <b/>
            <sz val="14"/>
            <color indexed="81"/>
            <rFont val="Tahoma"/>
            <family val="2"/>
          </rPr>
          <t xml:space="preserve">Note:
</t>
        </r>
        <r>
          <rPr>
            <sz val="14"/>
            <color indexed="81"/>
            <rFont val="Tahoma"/>
            <family val="2"/>
          </rPr>
          <t>This will be site-specific.</t>
        </r>
      </text>
    </comment>
    <comment ref="F11" authorId="1" shapeId="0" xr:uid="{ADBDC0AE-C88A-42EA-AA26-389621098FCC}">
      <text>
        <r>
          <rPr>
            <b/>
            <sz val="14"/>
            <color indexed="81"/>
            <rFont val="Tahoma"/>
            <family val="2"/>
          </rPr>
          <t xml:space="preserve">Note:
</t>
        </r>
        <r>
          <rPr>
            <sz val="14"/>
            <color indexed="81"/>
            <rFont val="Tahoma"/>
            <family val="2"/>
          </rPr>
          <t>Total of the separator filtrate and the wet solid digestate.</t>
        </r>
      </text>
    </comment>
    <comment ref="F18" authorId="1" shapeId="0" xr:uid="{FB2D21FA-3343-49CB-B87D-3F5536362F2A}">
      <text>
        <r>
          <rPr>
            <b/>
            <sz val="14"/>
            <color indexed="81"/>
            <rFont val="Tahoma"/>
            <family val="2"/>
          </rPr>
          <t xml:space="preserve">Note:
</t>
        </r>
        <r>
          <rPr>
            <sz val="14"/>
            <color indexed="81"/>
            <rFont val="Tahoma"/>
            <family val="2"/>
          </rPr>
          <t>Manure solids bedding is often used to bed free stalls.  It then often moves into liquid manure that goes back into the digester.  This bedding is NOT added to the cropland nutrient balance because it is accounted for in the manure nutrients. On the other hand, bedding used in a bedded pack and spread as undigested solid manure IS added to the cropland nutrient balance.</t>
        </r>
      </text>
    </comment>
    <comment ref="F21" authorId="1" shapeId="0" xr:uid="{FACAF8AE-DB0E-4AD3-A26A-6726E19F7B39}">
      <text>
        <r>
          <rPr>
            <b/>
            <sz val="14"/>
            <color indexed="81"/>
            <rFont val="Tahoma"/>
            <family val="2"/>
          </rPr>
          <t xml:space="preserve">Note:
</t>
        </r>
        <r>
          <rPr>
            <sz val="14"/>
            <color indexed="81"/>
            <rFont val="Tahoma"/>
            <family val="2"/>
          </rPr>
          <t>If these estimates are not available from your digester project developer, another source is information from the Michigan State University campus digester.</t>
        </r>
      </text>
    </comment>
    <comment ref="F24" authorId="1" shapeId="0" xr:uid="{0F9166AE-8D17-4232-BAA3-9AB89353A53F}">
      <text>
        <r>
          <rPr>
            <b/>
            <sz val="14"/>
            <color indexed="81"/>
            <rFont val="Tahoma"/>
            <family val="2"/>
          </rPr>
          <t xml:space="preserve">Note:
</t>
        </r>
        <r>
          <rPr>
            <sz val="14"/>
            <color indexed="81"/>
            <rFont val="Tahoma"/>
            <family val="2"/>
          </rPr>
          <t>This should be 100% unless some N exits the digester in the biogas.</t>
        </r>
      </text>
    </comment>
    <comment ref="F25" authorId="1" shapeId="0" xr:uid="{058E666C-CFFA-4074-8AF4-B12ABAEA8265}">
      <text>
        <r>
          <rPr>
            <b/>
            <sz val="14"/>
            <color indexed="81"/>
            <rFont val="Tahoma"/>
            <family val="2"/>
          </rPr>
          <t xml:space="preserve">Note:
</t>
        </r>
        <r>
          <rPr>
            <sz val="14"/>
            <color indexed="81"/>
            <rFont val="Tahoma"/>
            <family val="2"/>
          </rPr>
          <t>Aguirre-Villegas et al. shows that around 125% more ammonium N exits the digester than enters in the feedstock, but the percentage needed here will depend on the percentage of total N in the feedstock that is already in ammonium form.</t>
        </r>
      </text>
    </comment>
    <comment ref="I32" authorId="0" shapeId="0" xr:uid="{3E11C9E1-C9F6-43D2-962E-6287EC09B847}">
      <text>
        <r>
          <rPr>
            <b/>
            <sz val="14"/>
            <color indexed="81"/>
            <rFont val="Tahoma"/>
            <family val="2"/>
          </rPr>
          <t>Note:</t>
        </r>
        <r>
          <rPr>
            <sz val="14"/>
            <color indexed="81"/>
            <rFont val="Tahoma"/>
            <family val="2"/>
          </rPr>
          <t xml:space="preserve">
The cost of spreading manure per unit will normally be similar to what you would incur for raw manure, but if you will be bringing in food waste that increases the total volume to be applied, this will add to the total annual spreading cost.</t>
        </r>
      </text>
    </comment>
    <comment ref="I33" authorId="0" shapeId="0" xr:uid="{A4A58983-2149-44EF-9D12-E608279197EC}">
      <text>
        <r>
          <rPr>
            <b/>
            <sz val="14"/>
            <color indexed="81"/>
            <rFont val="Tahoma"/>
            <family val="2"/>
          </rPr>
          <t>Note:</t>
        </r>
        <r>
          <rPr>
            <sz val="14"/>
            <color indexed="81"/>
            <rFont val="Tahoma"/>
            <family val="2"/>
          </rPr>
          <t xml:space="preserve">
The cost of spreading manure per unit will normally be similar to what you would incur for raw manure, but if you will be bringing in food waste that increases the total volume to be applied, this will add to the total annual spreading cost.</t>
        </r>
      </text>
    </comment>
    <comment ref="I36" authorId="0" shapeId="0" xr:uid="{2DACF003-A4C9-43C3-8810-E3198F3232D2}">
      <text>
        <r>
          <rPr>
            <b/>
            <sz val="14"/>
            <color indexed="81"/>
            <rFont val="Tahoma"/>
            <family val="2"/>
          </rPr>
          <t>Note:</t>
        </r>
        <r>
          <rPr>
            <sz val="14"/>
            <color indexed="81"/>
            <rFont val="Tahoma"/>
            <family val="2"/>
          </rPr>
          <t xml:space="preserve">
The cost of spreading solid manure is only relevant if the farm handles part of the manure as a solid and uses manure solids from the project's solids separator there.  If the separated solids add to the total volume to be spread, that will probably add cost to the project.  On the other hand, if the manure solids replace other bedding, no longer paying for that bedding would represent a cost savings benefit of the project.</t>
        </r>
      </text>
    </comment>
    <comment ref="F39" authorId="0" shapeId="0" xr:uid="{48DF761D-87CA-4E4D-84DB-3FF2EC286F3A}">
      <text>
        <r>
          <rPr>
            <b/>
            <sz val="14"/>
            <color indexed="81"/>
            <rFont val="Tahoma"/>
            <family val="2"/>
          </rPr>
          <t>Note:</t>
        </r>
        <r>
          <rPr>
            <sz val="14"/>
            <color indexed="81"/>
            <rFont val="Tahoma"/>
            <family val="2"/>
          </rPr>
          <t xml:space="preserve">
The digestate wet solids bedding is valued based on the avoided cost of the bedding source you are using now or would otherwise use.</t>
        </r>
      </text>
    </comment>
    <comment ref="I41" authorId="1" shapeId="0" xr:uid="{CD02B80E-7189-49E4-A5F2-6336CD3E9FF5}">
      <text>
        <r>
          <rPr>
            <b/>
            <sz val="14"/>
            <color indexed="81"/>
            <rFont val="Tahoma"/>
            <family val="2"/>
          </rPr>
          <t xml:space="preserve">Note:
</t>
        </r>
        <r>
          <rPr>
            <sz val="14"/>
            <color indexed="81"/>
            <rFont val="Tahoma"/>
            <family val="2"/>
          </rPr>
          <t>A manure analysis will provide this information.  It is helpful in estimating the potential fertilizer value of the digestate, filtrate, and separated solids if applied to cropland.</t>
        </r>
      </text>
    </comment>
    <comment ref="D42" authorId="2" shapeId="0" xr:uid="{067C39D8-D48A-4051-A78F-DB8690F975E5}">
      <text>
        <r>
          <rPr>
            <b/>
            <sz val="9"/>
            <color indexed="81"/>
            <rFont val="Tahoma"/>
            <family val="2"/>
          </rPr>
          <t>William F Lazarus:</t>
        </r>
        <r>
          <rPr>
            <sz val="9"/>
            <color indexed="81"/>
            <rFont val="Tahoma"/>
            <family val="2"/>
          </rPr>
          <t xml:space="preserve">
From nutrient mgmt plan, nutrient lb/1000 gal 
</t>
        </r>
      </text>
    </comment>
    <comment ref="G42" authorId="2" shapeId="0" xr:uid="{14C0C4B2-1545-4F21-B48A-6AFD1A5B58A3}">
      <text>
        <r>
          <rPr>
            <b/>
            <sz val="9"/>
            <color indexed="81"/>
            <rFont val="Tahoma"/>
            <family val="2"/>
          </rPr>
          <t>William F Lazarus:</t>
        </r>
        <r>
          <rPr>
            <sz val="9"/>
            <color indexed="81"/>
            <rFont val="Tahoma"/>
            <family val="2"/>
          </rPr>
          <t xml:space="preserve">
From nutrient mgmt plan, nutrient lb/1000 gal 
</t>
        </r>
      </text>
    </comment>
    <comment ref="H42" authorId="2" shapeId="0" xr:uid="{9965525C-F0A3-4995-93FC-98C1EAD45C8B}">
      <text>
        <r>
          <rPr>
            <b/>
            <sz val="9"/>
            <color indexed="81"/>
            <rFont val="Tahoma"/>
            <family val="2"/>
          </rPr>
          <t>William F Lazarus:</t>
        </r>
        <r>
          <rPr>
            <sz val="9"/>
            <color indexed="81"/>
            <rFont val="Tahoma"/>
            <family val="2"/>
          </rPr>
          <t xml:space="preserve">
From nutrient mgmt plan, nutrient lb/1000 gal 
</t>
        </r>
      </text>
    </comment>
    <comment ref="I42" authorId="1" shapeId="0" xr:uid="{E4EBBB76-6EEF-449B-89AD-4C63480B6542}">
      <text>
        <r>
          <rPr>
            <b/>
            <sz val="14"/>
            <color indexed="81"/>
            <rFont val="Tahoma"/>
            <family val="2"/>
          </rPr>
          <t xml:space="preserve">Note:
</t>
        </r>
        <r>
          <rPr>
            <sz val="14"/>
            <color indexed="81"/>
            <rFont val="Tahoma"/>
            <family val="2"/>
          </rPr>
          <t>This will be site-specific.  It is helpful in estimating the potential fertilizer value of the digestate, filtrate, and separated solids if applied to cropland.</t>
        </r>
      </text>
    </comment>
    <comment ref="I43" authorId="1" shapeId="0" xr:uid="{082DDC8B-28D4-4F7A-B07C-5CDAF013D389}">
      <text>
        <r>
          <rPr>
            <b/>
            <sz val="14"/>
            <color indexed="81"/>
            <rFont val="Tahoma"/>
            <family val="2"/>
          </rPr>
          <t xml:space="preserve">Note:
</t>
        </r>
        <r>
          <rPr>
            <sz val="14"/>
            <color indexed="81"/>
            <rFont val="Tahoma"/>
            <family val="2"/>
          </rPr>
          <t>Defaults from Aguirre-Villegas et al., % ts * g/kg.  Soil test recommendations will provide this information.  A manure analysis will provide this information.  It is helpful in estimating the potential fertilizer value of the digestate, filtrate, and separated solids if applied to cropland.</t>
        </r>
      </text>
    </comment>
    <comment ref="D44" authorId="2" shapeId="0" xr:uid="{45AADCBA-776A-4E03-B4C3-0418DB7EE14C}">
      <text>
        <r>
          <rPr>
            <b/>
            <sz val="9"/>
            <color indexed="81"/>
            <rFont val="Tahoma"/>
            <family val="2"/>
          </rPr>
          <t>William F Lazarus:</t>
        </r>
        <r>
          <rPr>
            <sz val="9"/>
            <color indexed="81"/>
            <rFont val="Tahoma"/>
            <family val="2"/>
          </rPr>
          <t xml:space="preserve">
assumes November harvest, from Wilson et al., 2013
</t>
        </r>
      </text>
    </comment>
    <comment ref="E44" authorId="2" shapeId="0" xr:uid="{11D6C534-26D4-4B60-860E-D4776628A5E5}">
      <text>
        <r>
          <rPr>
            <b/>
            <sz val="9"/>
            <color indexed="81"/>
            <rFont val="Tahoma"/>
            <family val="2"/>
          </rPr>
          <t>William F Lazarus:</t>
        </r>
        <r>
          <rPr>
            <sz val="9"/>
            <color indexed="81"/>
            <rFont val="Tahoma"/>
            <family val="2"/>
          </rPr>
          <t xml:space="preserve">
My assumption - Wilson et al. doesn't break this out from total N.</t>
        </r>
      </text>
    </comment>
    <comment ref="G44" authorId="2" shapeId="0" xr:uid="{897BDC56-6535-46FF-89E5-729BA40A8F30}">
      <text>
        <r>
          <rPr>
            <b/>
            <sz val="9"/>
            <color indexed="81"/>
            <rFont val="Tahoma"/>
            <family val="2"/>
          </rPr>
          <t>William F Lazarus:</t>
        </r>
        <r>
          <rPr>
            <sz val="9"/>
            <color indexed="81"/>
            <rFont val="Tahoma"/>
            <family val="2"/>
          </rPr>
          <t xml:space="preserve">
from Vogel et al., 2017</t>
        </r>
      </text>
    </comment>
    <comment ref="H44" authorId="2" shapeId="0" xr:uid="{76E6274A-E0E8-41E0-8BA8-60B3AFE573E8}">
      <text>
        <r>
          <rPr>
            <b/>
            <sz val="9"/>
            <color indexed="81"/>
            <rFont val="Tahoma"/>
            <family val="2"/>
          </rPr>
          <t>William F Lazarus:</t>
        </r>
        <r>
          <rPr>
            <sz val="9"/>
            <color indexed="81"/>
            <rFont val="Tahoma"/>
            <family val="2"/>
          </rPr>
          <t xml:space="preserve">
from Vogel et al., 2017</t>
        </r>
      </text>
    </comment>
    <comment ref="I47" authorId="1" shapeId="0" xr:uid="{E933483E-0082-41B9-9289-24744882F48D}">
      <text>
        <r>
          <rPr>
            <b/>
            <sz val="14"/>
            <color indexed="81"/>
            <rFont val="Tahoma"/>
            <family val="2"/>
          </rPr>
          <t xml:space="preserve">Note:
</t>
        </r>
        <r>
          <rPr>
            <sz val="14"/>
            <color indexed="81"/>
            <rFont val="Tahoma"/>
            <family val="2"/>
          </rPr>
          <t>This assumes that the N, P, and K weights do not change during digestion.  Calculated based on the feedstock nutrients adjusted during digestion and solids separation, minus nutrients in the wet solid digestate.</t>
        </r>
      </text>
    </comment>
    <comment ref="I48" authorId="1" shapeId="0" xr:uid="{49DAB046-1CAA-48E7-B94B-5572D12C21F4}">
      <text>
        <r>
          <rPr>
            <b/>
            <sz val="14"/>
            <color indexed="81"/>
            <rFont val="Tahoma"/>
            <family val="2"/>
          </rPr>
          <t xml:space="preserve">Note:
</t>
        </r>
        <r>
          <rPr>
            <sz val="14"/>
            <color indexed="81"/>
            <rFont val="Tahoma"/>
            <family val="2"/>
          </rPr>
          <t>Defaults from Aguirre-Villegas et al., % ts * g/kg.  Soil test recommendations will provide this information.  The problem is that the values will probably vary from field to field and between crops.  So, an average over all of the fields receiving manure is ideal, or just enter a typical value otherwise.  The perspective taken here is that the digestate or filtrate applied only has economic value if replaces commercial fertilizer that would have been applied otherwise to achieve the same yields.</t>
        </r>
      </text>
    </comment>
    <comment ref="I50" authorId="1" shapeId="0" xr:uid="{EC6A2774-AAA4-4FCF-B3B6-53D3BBB6AE8C}">
      <text>
        <r>
          <rPr>
            <b/>
            <sz val="14"/>
            <color indexed="81"/>
            <rFont val="Tahoma"/>
            <family val="2"/>
          </rPr>
          <t xml:space="preserve">Note:
</t>
        </r>
        <r>
          <rPr>
            <sz val="14"/>
            <color indexed="81"/>
            <rFont val="Tahoma"/>
            <family val="2"/>
          </rPr>
          <t>Availability to the first year crop after application.  Add the availability to the second year crop if that crop can use the nutrients.  
This availability is for the no-digester scenario where the raw manure is applied to cropland rather than being digested.</t>
        </r>
      </text>
    </comment>
    <comment ref="I51" authorId="1" shapeId="0" xr:uid="{361238D6-3283-40A3-AD2C-9CFAA4ACFFFF}">
      <text>
        <r>
          <rPr>
            <b/>
            <sz val="14"/>
            <color indexed="81"/>
            <rFont val="Tahoma"/>
            <family val="2"/>
          </rPr>
          <t xml:space="preserve">Note:
</t>
        </r>
        <r>
          <rPr>
            <sz val="14"/>
            <color indexed="81"/>
            <rFont val="Tahoma"/>
            <family val="2"/>
          </rPr>
          <t xml:space="preserve">Availability to the first year crop after application.  Add the availability to the second year crop if that crop can use the nutrients.  </t>
        </r>
      </text>
    </comment>
    <comment ref="I52" authorId="1" shapeId="0" xr:uid="{F0F90A5C-5873-4B84-9091-86F9485F92EB}">
      <text>
        <r>
          <rPr>
            <b/>
            <sz val="14"/>
            <color indexed="81"/>
            <rFont val="Tahoma"/>
            <family val="2"/>
          </rPr>
          <t xml:space="preserve">Note:
</t>
        </r>
        <r>
          <rPr>
            <sz val="14"/>
            <color indexed="81"/>
            <rFont val="Tahoma"/>
            <family val="2"/>
          </rPr>
          <t>Availability to the first year crop after application.  Add the availability to the second year crop if that crop can use the nutrients.  
The nutrient availability of the wet solids will depend on how they are utilized.  If used to bed freestalls where it will go back into the digester, it may eventually be applied as a liquid. If used in a bedded pack or applied to cropland directly from the separator, it may be applied similar to a solid manure.</t>
        </r>
      </text>
    </comment>
    <comment ref="G56" authorId="2" shapeId="0" xr:uid="{65B88140-0F71-428A-BEA7-7E13CF23B497}">
      <text>
        <r>
          <rPr>
            <b/>
            <sz val="9"/>
            <color indexed="81"/>
            <rFont val="Tahoma"/>
            <family val="2"/>
          </rPr>
          <t>William F Lazarus:</t>
        </r>
        <r>
          <rPr>
            <sz val="9"/>
            <color indexed="81"/>
            <rFont val="Tahoma"/>
            <family val="2"/>
          </rPr>
          <t xml:space="preserve">
The typical first-year P need for the fields was 30 lb/acre.  If applying manure twice/year, this will translate to 60 lb/acre/year.</t>
        </r>
      </text>
    </comment>
    <comment ref="I56" authorId="1" shapeId="0" xr:uid="{B9187ADF-932A-4231-8E5B-71394776A0BC}">
      <text>
        <r>
          <rPr>
            <b/>
            <sz val="14"/>
            <color indexed="81"/>
            <rFont val="Tahoma"/>
            <family val="2"/>
          </rPr>
          <t xml:space="preserve">Note:
</t>
        </r>
        <r>
          <rPr>
            <sz val="14"/>
            <color indexed="81"/>
            <rFont val="Tahoma"/>
            <family val="2"/>
          </rPr>
          <t>Soil test recommendations will provide this information.  The problem is that the values will probably vary from field to field and between crops.  So, an average over all of the fields receiving manure is ideal, or just enter a typical value otherwise.  The perspective taken here is that the digestate or filtrate applied only has economic value if replaces commercial fertilizer that would have been applied otherwise to achieve the same yields.</t>
        </r>
      </text>
    </comment>
    <comment ref="I57" authorId="1" shapeId="0" xr:uid="{20728034-5FF0-4F8F-BE24-F0E424B69717}">
      <text>
        <r>
          <rPr>
            <b/>
            <sz val="14"/>
            <color indexed="81"/>
            <rFont val="Tahoma"/>
            <family val="2"/>
          </rPr>
          <t xml:space="preserve">Note:
</t>
        </r>
        <r>
          <rPr>
            <sz val="14"/>
            <color indexed="81"/>
            <rFont val="Tahoma"/>
            <family val="2"/>
          </rPr>
          <t>Enter the cost per lb of nutrient if you needed to purchase commercial fertilizer to supply them, and will be avoided because of applying the filtrate and/or wet solid digestate.
Default prices updated on 3/23/23 based on USDA-AMS prices for Iowa.</t>
        </r>
      </text>
    </comment>
    <comment ref="I58" authorId="1" shapeId="0" xr:uid="{06113A2D-A406-44E0-A118-0368F811B8B6}">
      <text>
        <r>
          <rPr>
            <b/>
            <sz val="14"/>
            <color indexed="81"/>
            <rFont val="Tahoma"/>
            <family val="2"/>
          </rPr>
          <t xml:space="preserve">Note:
</t>
        </r>
        <r>
          <rPr>
            <sz val="14"/>
            <color indexed="81"/>
            <rFont val="Tahoma"/>
            <family val="2"/>
          </rPr>
          <t xml:space="preserve">P or K amounts below the crop needs entered above will need to be supplied from commercial fertilizer.  P or K amounts above the crop needs represent surplus nutrients.  One suggestion would be to reduce the application rate to one based on P rather than N, and make up the difference in N from commercial fertilizer. </t>
        </r>
      </text>
    </comment>
    <comment ref="I59" authorId="1" shapeId="0" xr:uid="{9A4592E1-3F62-4640-B784-100CCBC99E87}">
      <text>
        <r>
          <rPr>
            <b/>
            <sz val="14"/>
            <color indexed="81"/>
            <rFont val="Tahoma"/>
            <family val="2"/>
          </rPr>
          <t xml:space="preserve">Note:
</t>
        </r>
        <r>
          <rPr>
            <sz val="14"/>
            <color indexed="81"/>
            <rFont val="Tahoma"/>
            <family val="2"/>
          </rPr>
          <t xml:space="preserve">P or K amounts below the crop needs entered above will need to be supplied from commercial fertilizer.  P or K amounts above the crop needs represent surplus nutrients.  One suggestion would be to reduce the application rate to one based on P rather than N, and make up the difference in N from commercial fertilizer. </t>
        </r>
      </text>
    </comment>
    <comment ref="G65" authorId="1" shapeId="0" xr:uid="{14E50A9A-29D3-405E-9774-14B84AC0B803}">
      <text>
        <r>
          <rPr>
            <b/>
            <sz val="14"/>
            <color indexed="81"/>
            <rFont val="Tahoma"/>
            <family val="2"/>
          </rPr>
          <t xml:space="preserve">Note:
</t>
        </r>
        <r>
          <rPr>
            <sz val="14"/>
            <color indexed="81"/>
            <rFont val="Tahoma"/>
            <family val="2"/>
          </rPr>
          <t>If acres available are less than required for a P-based rate, the rate is based on total available acres.</t>
        </r>
      </text>
    </comment>
    <comment ref="G67" authorId="1" shapeId="0" xr:uid="{164D6897-6EB7-40A8-9D0F-E04F5A46058C}">
      <text>
        <r>
          <rPr>
            <b/>
            <sz val="14"/>
            <color indexed="81"/>
            <rFont val="Tahoma"/>
            <family val="2"/>
          </rPr>
          <t xml:space="preserve">Note:
</t>
        </r>
        <r>
          <rPr>
            <sz val="14"/>
            <color indexed="81"/>
            <rFont val="Tahoma"/>
            <family val="2"/>
          </rPr>
          <t>Over-write the formula to enter your own chosen rate.</t>
        </r>
      </text>
    </comment>
    <comment ref="G68" authorId="1" shapeId="0" xr:uid="{7CABA09E-F8BD-4BB4-B98E-46BA98E6114E}">
      <text>
        <r>
          <rPr>
            <b/>
            <sz val="14"/>
            <color indexed="81"/>
            <rFont val="Tahoma"/>
            <family val="2"/>
          </rPr>
          <t xml:space="preserve">Note:
</t>
        </r>
        <r>
          <rPr>
            <sz val="14"/>
            <color indexed="81"/>
            <rFont val="Tahoma"/>
            <family val="2"/>
          </rPr>
          <t>Calculated by dividing the nutrient weight in the raw manure or liquid by the liquid volume.</t>
        </r>
      </text>
    </comment>
    <comment ref="G69" authorId="1" shapeId="0" xr:uid="{520EA1EA-66B3-4C20-AF8D-CBCA023BF81F}">
      <text>
        <r>
          <rPr>
            <b/>
            <sz val="14"/>
            <color indexed="81"/>
            <rFont val="Tahoma"/>
            <family val="2"/>
          </rPr>
          <t xml:space="preserve">Note:
</t>
        </r>
        <r>
          <rPr>
            <sz val="14"/>
            <color indexed="81"/>
            <rFont val="Tahoma"/>
            <family val="2"/>
          </rPr>
          <t>Calculated by dividing the volume of raw manure or filtrate by the application rate.</t>
        </r>
      </text>
    </comment>
    <comment ref="G73" authorId="1" shapeId="0" xr:uid="{B50BCC7D-8575-4BA4-BA47-806688A6AEA0}">
      <text>
        <r>
          <rPr>
            <b/>
            <sz val="14"/>
            <color indexed="81"/>
            <rFont val="Tahoma"/>
            <family val="2"/>
          </rPr>
          <t xml:space="preserve">Note:
</t>
        </r>
        <r>
          <rPr>
            <sz val="14"/>
            <color indexed="81"/>
            <rFont val="Tahoma"/>
            <family val="2"/>
          </rPr>
          <t>Calculated by dividing the volume of wet solids by the application rate.</t>
        </r>
      </text>
    </comment>
    <comment ref="G75" authorId="1" shapeId="0" xr:uid="{4BA3FA0B-332F-4114-BD29-1C2732B6EF83}">
      <text>
        <r>
          <rPr>
            <b/>
            <sz val="14"/>
            <color indexed="81"/>
            <rFont val="Tahoma"/>
            <family val="2"/>
          </rPr>
          <t xml:space="preserve">Note:
</t>
        </r>
        <r>
          <rPr>
            <sz val="14"/>
            <color indexed="81"/>
            <rFont val="Tahoma"/>
            <family val="2"/>
          </rPr>
          <t>The difference, if positive, indicates that more land will be needed for land application than without the addition of the food waste.</t>
        </r>
      </text>
    </comment>
    <comment ref="G77" authorId="1" shapeId="0" xr:uid="{D477D9C1-5267-4F68-A311-D4DA0AEB4734}">
      <text>
        <r>
          <rPr>
            <b/>
            <sz val="14"/>
            <color indexed="81"/>
            <rFont val="Tahoma"/>
            <family val="2"/>
          </rPr>
          <t xml:space="preserve">Note:
</t>
        </r>
        <r>
          <rPr>
            <sz val="14"/>
            <color indexed="81"/>
            <rFont val="Tahoma"/>
            <family val="2"/>
          </rPr>
          <t>The difference, if positive, indicates that more land will be needed for land application than without the addition of the food waste.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William F Lazarus</author>
    <author>Tyler Leeds</author>
  </authors>
  <commentList>
    <comment ref="B12" authorId="0" shapeId="0" xr:uid="{461EEBB1-2338-4A4D-AF1C-60BA41F3DF5A}">
      <text>
        <r>
          <rPr>
            <b/>
            <sz val="9"/>
            <color indexed="81"/>
            <rFont val="Tahoma"/>
            <family val="2"/>
          </rPr>
          <t>William F Lazarus:</t>
        </r>
        <r>
          <rPr>
            <sz val="9"/>
            <color indexed="81"/>
            <rFont val="Tahoma"/>
            <family val="2"/>
          </rPr>
          <t xml:space="preserve">
Or, first crop in the rotation, if more than one crop</t>
        </r>
      </text>
    </comment>
    <comment ref="F12" authorId="1" shapeId="0" xr:uid="{EBE81A27-D050-40B6-94FD-F7F09801360A}">
      <text>
        <r>
          <rPr>
            <b/>
            <sz val="14"/>
            <color indexed="81"/>
            <rFont val="Tahoma"/>
            <family val="2"/>
          </rPr>
          <t>Note:</t>
        </r>
        <r>
          <rPr>
            <sz val="14"/>
            <color indexed="81"/>
            <rFont val="Tahoma"/>
            <family val="2"/>
          </rPr>
          <t xml:space="preserve">
This cell is just for reference.</t>
        </r>
      </text>
    </comment>
    <comment ref="F13" authorId="1" shapeId="0" xr:uid="{626BD7BD-BEC5-4569-8093-C682C85C5E4A}">
      <text>
        <r>
          <rPr>
            <b/>
            <sz val="14"/>
            <color indexed="81"/>
            <rFont val="Tahoma"/>
            <family val="2"/>
          </rPr>
          <t>Note:</t>
        </r>
        <r>
          <rPr>
            <sz val="14"/>
            <color indexed="81"/>
            <rFont val="Tahoma"/>
            <family val="2"/>
          </rPr>
          <t xml:space="preserve">
This section is to describe the opportunity cost of the land to be planted to switchgrass for the digester.  Enter the typical yield, price per unit, and non-land production cost per acre to have the formulas calculate the net return.
Or, if the net return per acre is known, the simplest way to do the data entry is to enter it in the yield cell, enter a "1" in the price cell, and leave the non-land production cost cell blank.</t>
        </r>
      </text>
    </comment>
    <comment ref="F14" authorId="1" shapeId="0" xr:uid="{F9EE47A9-81BB-4C91-95C1-8E0C98673928}">
      <text>
        <r>
          <rPr>
            <b/>
            <sz val="14"/>
            <color indexed="81"/>
            <rFont val="Tahoma"/>
            <family val="2"/>
          </rPr>
          <t>Note:</t>
        </r>
        <r>
          <rPr>
            <sz val="14"/>
            <color indexed="81"/>
            <rFont val="Tahoma"/>
            <family val="2"/>
          </rPr>
          <t xml:space="preserve">
This section is to describe the opportunity cost of the land to be planted to switchgrass for the digester.  Enter the typical yield, price per unit, and non-land production cost per acre to have the formulas calculate the net return.
Or, if the net return per acre is known, the simplest way to do the data entry is to enter it in the yield cell, enter a "1" in the price cell, and leave the non-land production cost cell blank.</t>
        </r>
      </text>
    </comment>
    <comment ref="F15" authorId="1" shapeId="0" xr:uid="{FC4028D2-8B88-488C-B30C-48A5B9ABCFB4}">
      <text>
        <r>
          <rPr>
            <b/>
            <sz val="14"/>
            <color indexed="81"/>
            <rFont val="Tahoma"/>
            <family val="2"/>
          </rPr>
          <t>Note:</t>
        </r>
        <r>
          <rPr>
            <sz val="14"/>
            <color indexed="81"/>
            <rFont val="Tahoma"/>
            <family val="2"/>
          </rPr>
          <t xml:space="preserve">
This section is to describe the opportunity cost of the land to be planted to switchgrass for the digester.  Enter the typical yield, price per unit, and non-land production cost per acre to have the formulas calculate the net return.
Or, if the net return per acre is known, the simplest way to do the data entry is to enter it in the yield cell, enter a "1" in the price cell, and leave the non-land production cost cell blank.</t>
        </r>
      </text>
    </comment>
    <comment ref="F16" authorId="1" shapeId="0" xr:uid="{4081DBC5-AB43-46C5-A148-7C54F61186BD}">
      <text>
        <r>
          <rPr>
            <b/>
            <sz val="14"/>
            <color indexed="81"/>
            <rFont val="Tahoma"/>
            <family val="2"/>
          </rPr>
          <t>Note:</t>
        </r>
        <r>
          <rPr>
            <sz val="14"/>
            <color indexed="81"/>
            <rFont val="Tahoma"/>
            <family val="2"/>
          </rPr>
          <t xml:space="preserve">
If calculating the opportunity cost of land on only one crop, enter "100%" here.  Or, you can enter a percentage here and the information on a second crop below, to have the formulas calculate an average of the two crops.</t>
        </r>
      </text>
    </comment>
    <comment ref="F23" authorId="1" shapeId="0" xr:uid="{D3A3F9A7-EEAC-4877-9BDA-DD99CFEDC4E5}">
      <text>
        <r>
          <rPr>
            <b/>
            <sz val="14"/>
            <color indexed="81"/>
            <rFont val="Tahoma"/>
            <family val="2"/>
          </rPr>
          <t>Note:</t>
        </r>
        <r>
          <rPr>
            <sz val="14"/>
            <color indexed="81"/>
            <rFont val="Tahoma"/>
            <family val="2"/>
          </rPr>
          <t xml:space="preserve">
This is site-specific.</t>
        </r>
      </text>
    </comment>
    <comment ref="F24" authorId="1" shapeId="0" xr:uid="{7F50CB2C-0480-4265-BAEF-8B9F5C2AD392}">
      <text>
        <r>
          <rPr>
            <b/>
            <sz val="14"/>
            <color indexed="81"/>
            <rFont val="Tahoma"/>
            <family val="2"/>
          </rPr>
          <t>Note:</t>
        </r>
        <r>
          <rPr>
            <sz val="14"/>
            <color indexed="81"/>
            <rFont val="Tahoma"/>
            <family val="2"/>
          </rPr>
          <t xml:space="preserve">
Enter the expected years of productive growth from the switchgrass.  Estimates range from 5 to 15 years.  This does not include the site preparation year, if any.</t>
        </r>
      </text>
    </comment>
    <comment ref="F25" authorId="1" shapeId="0" xr:uid="{0F9D8D91-159B-4554-83DC-E27A309AFE5B}">
      <text>
        <r>
          <rPr>
            <b/>
            <sz val="14"/>
            <color indexed="81"/>
            <rFont val="Tahoma"/>
            <family val="2"/>
          </rPr>
          <t>Note:</t>
        </r>
        <r>
          <rPr>
            <sz val="14"/>
            <color indexed="81"/>
            <rFont val="Tahoma"/>
            <family val="2"/>
          </rPr>
          <t xml:space="preserve">
The yield is usually low in the planting year, higher in the second year, and reaches its full potential by the third year.</t>
        </r>
      </text>
    </comment>
    <comment ref="F26" authorId="1" shapeId="0" xr:uid="{1DB056D8-CB6D-4343-B8C6-34653EA15439}">
      <text>
        <r>
          <rPr>
            <b/>
            <sz val="14"/>
            <color indexed="81"/>
            <rFont val="Tahoma"/>
            <family val="2"/>
          </rPr>
          <t>Note:</t>
        </r>
        <r>
          <rPr>
            <sz val="14"/>
            <color indexed="81"/>
            <rFont val="Tahoma"/>
            <family val="2"/>
          </rPr>
          <t xml:space="preserve">
The yield is usually low in the planting year, higher in the second year, and reaches its full potential by the third year.</t>
        </r>
      </text>
    </comment>
    <comment ref="F27" authorId="1" shapeId="0" xr:uid="{C945B722-6BC1-4DCD-A8DE-1F413EEE2AD4}">
      <text>
        <r>
          <rPr>
            <b/>
            <sz val="14"/>
            <color indexed="81"/>
            <rFont val="Tahoma"/>
            <family val="2"/>
          </rPr>
          <t>Note:</t>
        </r>
        <r>
          <rPr>
            <sz val="14"/>
            <color indexed="81"/>
            <rFont val="Tahoma"/>
            <family val="2"/>
          </rPr>
          <t xml:space="preserve">
The yield is usually low in the planting year, higher in the second year, and reaches its full potential by the third year.</t>
        </r>
      </text>
    </comment>
    <comment ref="F29" authorId="1" shapeId="0" xr:uid="{BD7FF90B-B911-4DAD-B145-50B491254C01}">
      <text>
        <r>
          <rPr>
            <b/>
            <sz val="14"/>
            <color indexed="81"/>
            <rFont val="Tahoma"/>
            <family val="2"/>
          </rPr>
          <t>Note:</t>
        </r>
        <r>
          <rPr>
            <sz val="14"/>
            <color indexed="81"/>
            <rFont val="Tahoma"/>
            <family val="2"/>
          </rPr>
          <t xml:space="preserve">
This will depend on the type of baler used.</t>
        </r>
      </text>
    </comment>
    <comment ref="C34" authorId="0" shapeId="0" xr:uid="{FECCA45C-F79A-4576-B597-BAEB259A69E4}">
      <text>
        <r>
          <rPr>
            <b/>
            <sz val="9"/>
            <color indexed="81"/>
            <rFont val="Tahoma"/>
            <family val="2"/>
          </rPr>
          <t>William F Lazarus:</t>
        </r>
        <r>
          <rPr>
            <sz val="9"/>
            <color indexed="81"/>
            <rFont val="Tahoma"/>
            <family val="2"/>
          </rPr>
          <t xml:space="preserve">
from agstar spreadsheet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Jason Gifford</author>
  </authors>
  <commentList>
    <comment ref="B5" authorId="0" shapeId="0" xr:uid="{00000000-0006-0000-0200-000001000000}">
      <text>
        <r>
          <rPr>
            <b/>
            <sz val="12"/>
            <color indexed="81"/>
            <rFont val="Tahoma"/>
            <family val="2"/>
          </rPr>
          <t>Note:</t>
        </r>
        <r>
          <rPr>
            <sz val="12"/>
            <color indexed="81"/>
            <rFont val="Tahoma"/>
            <family val="2"/>
          </rPr>
          <t xml:space="preserve">
One of the CREST model development objectives was to incorporate maximum functionality and flexibility, while maintaining a macro-free file.
As a result, the model calculates using a series of three data tables which converge onto the COE within several one-hundredths of a cent.
Because the three data tables rely on one another to calculate the COE, and the "Automatic" calculation setting only re-calculates the first data table under certain circumstances, it is sometimes necessary to press F9 more than once in order for the calculation to cascade through each of the three data tables.
If "#N/A" appears, F9 should be pressed until the calculated COE achieves it's final value.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Jason Gifford</author>
  </authors>
  <commentList>
    <comment ref="C4" authorId="0" shapeId="0" xr:uid="{00000000-0006-0000-0300-000001000000}">
      <text>
        <r>
          <rPr>
            <b/>
            <sz val="14"/>
            <color indexed="81"/>
            <rFont val="Tahoma"/>
            <family val="2"/>
          </rPr>
          <t xml:space="preserve">Note:
</t>
        </r>
        <r>
          <rPr>
            <sz val="14"/>
            <color indexed="81"/>
            <rFont val="Tahoma"/>
            <family val="2"/>
          </rPr>
          <t>During the FIT contract period, this column represents the feed-in tariff rate, including escalation if applicable.  After the FIT contract ends, this column represents the value of energy, capacity, renewable energy credits, or other attributes as defined and enterred by the user, if applicable.</t>
        </r>
      </text>
    </comment>
    <comment ref="D4" authorId="0" shapeId="0" xr:uid="{00000000-0006-0000-0300-000002000000}">
      <text>
        <r>
          <rPr>
            <sz val="8"/>
            <color indexed="81"/>
            <rFont val="Tahoma"/>
            <family val="2"/>
          </rPr>
          <t xml:space="preserve">
</t>
        </r>
        <r>
          <rPr>
            <b/>
            <sz val="14"/>
            <color indexed="81"/>
            <rFont val="Tahoma"/>
            <family val="2"/>
          </rPr>
          <t>Note:</t>
        </r>
        <r>
          <rPr>
            <sz val="8"/>
            <color indexed="81"/>
            <rFont val="Tahoma"/>
            <family val="2"/>
          </rPr>
          <t xml:space="preserve">
</t>
        </r>
        <r>
          <rPr>
            <sz val="14"/>
            <color indexed="81"/>
            <rFont val="Tahoma"/>
            <family val="2"/>
          </rPr>
          <t>includes performance-based incentives.</t>
        </r>
      </text>
    </comment>
    <comment ref="E4" authorId="0" shapeId="0" xr:uid="{00000000-0006-0000-0300-000003000000}">
      <text>
        <r>
          <rPr>
            <b/>
            <sz val="14"/>
            <color indexed="81"/>
            <rFont val="Tahoma"/>
            <family val="2"/>
          </rPr>
          <t>Note:</t>
        </r>
        <r>
          <rPr>
            <sz val="14"/>
            <color indexed="81"/>
            <rFont val="Tahoma"/>
            <family val="2"/>
          </rPr>
          <t xml:space="preserve">
Includes all land lease, royalty and local tax or PILOT.
</t>
        </r>
      </text>
    </comment>
    <comment ref="F4" authorId="0" shapeId="0" xr:uid="{00000000-0006-0000-0300-000004000000}">
      <text>
        <r>
          <rPr>
            <b/>
            <sz val="12"/>
            <color indexed="81"/>
            <rFont val="Tahoma"/>
            <family val="2"/>
          </rPr>
          <t xml:space="preserve">Note:
</t>
        </r>
        <r>
          <rPr>
            <sz val="12"/>
            <color indexed="81"/>
            <rFont val="Tahoma"/>
            <family val="2"/>
          </rPr>
          <t>Includes principle and interest, if debt is used.</t>
        </r>
      </text>
    </comment>
    <comment ref="G4" authorId="0" shapeId="0" xr:uid="{00000000-0006-0000-0300-000005000000}">
      <text>
        <r>
          <rPr>
            <b/>
            <sz val="14"/>
            <color indexed="81"/>
            <rFont val="Tahoma"/>
            <family val="2"/>
          </rPr>
          <t xml:space="preserve">Note:
</t>
        </r>
        <r>
          <rPr>
            <sz val="14"/>
            <color indexed="81"/>
            <rFont val="Tahoma"/>
            <family val="2"/>
          </rPr>
          <t xml:space="preserve">Positive values denote net withdrawal from reserve accounts as reserved capital is returned to project owners.  Includes annual payments to a reserve to cover engine replacements/overhauls, sludge cleanout, decommissioning, etc.
</t>
        </r>
      </text>
    </comment>
    <comment ref="M4" authorId="0" shapeId="0" xr:uid="{00000000-0006-0000-0300-000006000000}">
      <text>
        <r>
          <rPr>
            <b/>
            <sz val="14"/>
            <color indexed="81"/>
            <rFont val="Tahoma"/>
            <family val="2"/>
          </rPr>
          <t xml:space="preserve">Note:
</t>
        </r>
        <r>
          <rPr>
            <sz val="14"/>
            <color indexed="81"/>
            <rFont val="Tahoma"/>
            <family val="2"/>
          </rPr>
          <t xml:space="preserve">This is the annual cash flow disbursed to the project's equity investors, after tax.
</t>
        </r>
      </text>
    </comment>
    <comment ref="N4" authorId="0" shapeId="0" xr:uid="{00000000-0006-0000-0300-000007000000}">
      <text>
        <r>
          <rPr>
            <b/>
            <sz val="14"/>
            <color indexed="81"/>
            <rFont val="Tahoma"/>
            <family val="2"/>
          </rPr>
          <t xml:space="preserve">Note:
</t>
        </r>
        <r>
          <rPr>
            <sz val="14"/>
            <color indexed="81"/>
            <rFont val="Tahoma"/>
            <family val="2"/>
          </rPr>
          <t xml:space="preserve">This is the cumulative benefit of annual net cash flows.  The year in which the values become positive represents the return "of" the equity investor's original cash contribution.  The equity investor does not earn its return "on" investment until the required rate is met - which in this model will be in the final project year.
</t>
        </r>
      </text>
    </comment>
    <comment ref="O4" authorId="0" shapeId="0" xr:uid="{00000000-0006-0000-0300-000008000000}">
      <text>
        <r>
          <rPr>
            <b/>
            <sz val="14"/>
            <color indexed="81"/>
            <rFont val="Tahoma"/>
            <family val="2"/>
          </rPr>
          <t xml:space="preserve">Note:
</t>
        </r>
        <r>
          <rPr>
            <sz val="14"/>
            <color indexed="81"/>
            <rFont val="Tahoma"/>
            <family val="2"/>
          </rPr>
          <t xml:space="preserve">This is a running tally on the equity investor's after tax internal rate of return.
</t>
        </r>
      </text>
    </comment>
    <comment ref="P4" authorId="0" shapeId="0" xr:uid="{00000000-0006-0000-0300-000009000000}">
      <text>
        <r>
          <rPr>
            <b/>
            <sz val="14"/>
            <color indexed="81"/>
            <rFont val="Tahoma"/>
            <family val="2"/>
          </rPr>
          <t xml:space="preserve">Note:
</t>
        </r>
        <r>
          <rPr>
            <sz val="14"/>
            <color indexed="81"/>
            <rFont val="Tahoma"/>
            <family val="2"/>
          </rPr>
          <t xml:space="preserve">The Debt Service Coverage Ratio is calculated by dividing the sum of the annual principal and interest payment into that year's operating cash flow.  Lenders will require the DSCR to demonstrate the project's ability to easily meet its annual debt service obligation.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Jason Gifford</author>
  </authors>
  <commentList>
    <comment ref="E59" authorId="0" shapeId="0" xr:uid="{00000000-0006-0000-0400-000001000000}">
      <text>
        <r>
          <rPr>
            <b/>
            <sz val="14"/>
            <color indexed="81"/>
            <rFont val="Tahoma"/>
            <family val="2"/>
          </rPr>
          <t xml:space="preserve">NOTE:
</t>
        </r>
        <r>
          <rPr>
            <sz val="14"/>
            <color indexed="81"/>
            <rFont val="Tahoma"/>
            <family val="2"/>
          </rPr>
          <t>If operating loss carry-forward is NOT applied, the values in the "Taxable Income" lines should be the same.</t>
        </r>
        <r>
          <rPr>
            <sz val="8"/>
            <color indexed="81"/>
            <rFont val="Tahoma"/>
            <family val="2"/>
          </rPr>
          <t xml:space="preserve">
</t>
        </r>
      </text>
    </comment>
    <comment ref="C140" authorId="0" shapeId="0" xr:uid="{00000000-0006-0000-0400-000002000000}">
      <text>
        <r>
          <rPr>
            <b/>
            <sz val="14"/>
            <color indexed="81"/>
            <rFont val="Tahoma"/>
            <family val="2"/>
          </rPr>
          <t>Note:</t>
        </r>
        <r>
          <rPr>
            <sz val="14"/>
            <color indexed="81"/>
            <rFont val="Tahoma"/>
            <family val="2"/>
          </rPr>
          <t xml:space="preserve">
Adjustments include (if applicable): reduction of cost basis by 50% of ITC (or ITC Cash Grant), reduction of cost basis for other non-taxable grants, and allocation of Bonus Depreciation. </t>
        </r>
      </text>
    </comment>
    <comment ref="E140" authorId="0" shapeId="0" xr:uid="{00000000-0006-0000-0400-000003000000}">
      <text>
        <r>
          <rPr>
            <b/>
            <sz val="14"/>
            <color indexed="81"/>
            <rFont val="Tahoma"/>
            <family val="2"/>
          </rPr>
          <t xml:space="preserve">Note:
</t>
        </r>
        <r>
          <rPr>
            <sz val="14"/>
            <color indexed="81"/>
            <rFont val="Tahoma"/>
            <family val="2"/>
          </rPr>
          <t xml:space="preserve">Adjustments include (if applicable): reduction of cost basis by 50% of ITC (or ITC Cash Grant), reduction of cost basis for other non-taxable grants, and allocation of Bonus Depreciation. </t>
        </r>
      </text>
    </comment>
    <comment ref="G217" authorId="0" shapeId="0" xr:uid="{00000000-0006-0000-0400-000004000000}">
      <text>
        <r>
          <rPr>
            <b/>
            <sz val="12"/>
            <color indexed="81"/>
            <rFont val="Tahoma"/>
            <family val="2"/>
          </rPr>
          <t>Note:</t>
        </r>
        <r>
          <rPr>
            <sz val="12"/>
            <color indexed="81"/>
            <rFont val="Tahoma"/>
            <family val="2"/>
          </rPr>
          <t xml:space="preserve">
ITC earned in first quarter of operation assumed eligible to offset tax on state income taxes saved in first operating year, when applicable. Remainder of ITC carried forward.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William F Lazarus</author>
  </authors>
  <commentList>
    <comment ref="I73" authorId="0" shapeId="0" xr:uid="{7FBA96AC-777B-4E4B-9AD3-C27CF80E5CBB}">
      <text>
        <r>
          <rPr>
            <b/>
            <sz val="9"/>
            <color indexed="81"/>
            <rFont val="Tahoma"/>
            <family val="2"/>
          </rPr>
          <t>William F Lazarus:</t>
        </r>
        <r>
          <rPr>
            <sz val="9"/>
            <color indexed="81"/>
            <rFont val="Tahoma"/>
            <family val="2"/>
          </rPr>
          <t xml:space="preserve">
based on min of applied or needed</t>
        </r>
      </text>
    </comment>
    <comment ref="J73" authorId="0" shapeId="0" xr:uid="{FAB39C3B-BB92-4488-BA99-67C6C308F14B}">
      <text>
        <r>
          <rPr>
            <b/>
            <sz val="9"/>
            <color indexed="81"/>
            <rFont val="Tahoma"/>
            <family val="2"/>
          </rPr>
          <t>William F Lazarus:</t>
        </r>
        <r>
          <rPr>
            <sz val="9"/>
            <color indexed="81"/>
            <rFont val="Tahoma"/>
            <family val="2"/>
          </rPr>
          <t xml:space="preserve">
based on min of applied or needed</t>
        </r>
      </text>
    </comment>
    <comment ref="P73" authorId="0" shapeId="0" xr:uid="{24EB7D2F-B40F-4679-B6CC-CDD33CDECD57}">
      <text>
        <r>
          <rPr>
            <b/>
            <sz val="9"/>
            <color indexed="81"/>
            <rFont val="Tahoma"/>
            <family val="2"/>
          </rPr>
          <t>William F Lazarus:</t>
        </r>
        <r>
          <rPr>
            <sz val="9"/>
            <color indexed="81"/>
            <rFont val="Tahoma"/>
            <family val="2"/>
          </rPr>
          <t xml:space="preserve">
based on min of applied or needed</t>
        </r>
      </text>
    </comment>
    <comment ref="Q73" authorId="0" shapeId="0" xr:uid="{046472DD-D99B-4295-AEBD-0DC8A7376996}">
      <text>
        <r>
          <rPr>
            <b/>
            <sz val="9"/>
            <color indexed="81"/>
            <rFont val="Tahoma"/>
            <family val="2"/>
          </rPr>
          <t>William F Lazarus:</t>
        </r>
        <r>
          <rPr>
            <sz val="9"/>
            <color indexed="81"/>
            <rFont val="Tahoma"/>
            <family val="2"/>
          </rPr>
          <t xml:space="preserve">
based on min of applied or needed</t>
        </r>
      </text>
    </comment>
    <comment ref="W73" authorId="0" shapeId="0" xr:uid="{6FA52A7D-6F12-4E17-9726-2FE0E5797A31}">
      <text>
        <r>
          <rPr>
            <b/>
            <sz val="9"/>
            <color indexed="81"/>
            <rFont val="Tahoma"/>
            <family val="2"/>
          </rPr>
          <t>William F Lazarus:</t>
        </r>
        <r>
          <rPr>
            <sz val="9"/>
            <color indexed="81"/>
            <rFont val="Tahoma"/>
            <family val="2"/>
          </rPr>
          <t xml:space="preserve">
based on min of applied or needed</t>
        </r>
      </text>
    </comment>
    <comment ref="X73" authorId="0" shapeId="0" xr:uid="{519FBD50-4AC2-47C0-B05B-8F09F96C8626}">
      <text>
        <r>
          <rPr>
            <b/>
            <sz val="9"/>
            <color indexed="81"/>
            <rFont val="Tahoma"/>
            <family val="2"/>
          </rPr>
          <t>William F Lazarus:</t>
        </r>
        <r>
          <rPr>
            <sz val="9"/>
            <color indexed="81"/>
            <rFont val="Tahoma"/>
            <family val="2"/>
          </rPr>
          <t xml:space="preserve">
based on min of applied or needed</t>
        </r>
      </text>
    </comment>
    <comment ref="Z73" authorId="0" shapeId="0" xr:uid="{09D36EC1-0D24-456E-A746-97D5982C6EE2}">
      <text>
        <r>
          <rPr>
            <b/>
            <sz val="9"/>
            <color indexed="81"/>
            <rFont val="Tahoma"/>
            <family val="2"/>
          </rPr>
          <t>William F Lazarus:</t>
        </r>
        <r>
          <rPr>
            <sz val="9"/>
            <color indexed="81"/>
            <rFont val="Tahoma"/>
            <family val="2"/>
          </rPr>
          <t xml:space="preserve">
based on min of applied or needed</t>
        </r>
      </text>
    </comment>
    <comment ref="C74" authorId="0" shapeId="0" xr:uid="{5379A342-974C-4527-90E7-A62FE3F7FA47}">
      <text>
        <r>
          <rPr>
            <b/>
            <sz val="9"/>
            <color indexed="81"/>
            <rFont val="Tahoma"/>
            <family val="2"/>
          </rPr>
          <t>William F Lazarus:</t>
        </r>
        <r>
          <rPr>
            <sz val="9"/>
            <color indexed="81"/>
            <rFont val="Tahoma"/>
            <family val="2"/>
          </rPr>
          <t xml:space="preserve">
Prices of fertilizer nutrient purchases avoided because they are replaced by manure or digestate land applications</t>
        </r>
      </text>
    </comment>
    <comment ref="C75" authorId="0" shapeId="0" xr:uid="{0231FC5F-BC3A-4135-9BCA-1C227DD83279}">
      <text>
        <r>
          <rPr>
            <b/>
            <sz val="9"/>
            <color indexed="81"/>
            <rFont val="Tahoma"/>
            <family val="2"/>
          </rPr>
          <t>William F Lazarus:</t>
        </r>
        <r>
          <rPr>
            <sz val="9"/>
            <color indexed="81"/>
            <rFont val="Tahoma"/>
            <family val="2"/>
          </rPr>
          <t xml:space="preserve">
Prices of fertilizer nutrient purchases avoided because they are replaced by manure or digestate land applications</t>
        </r>
      </text>
    </comment>
    <comment ref="C76" authorId="0" shapeId="0" xr:uid="{49A995BF-DCE0-4FC5-911C-0E8E9A7D22E4}">
      <text>
        <r>
          <rPr>
            <b/>
            <sz val="9"/>
            <color indexed="81"/>
            <rFont val="Tahoma"/>
            <family val="2"/>
          </rPr>
          <t>William F Lazarus:</t>
        </r>
        <r>
          <rPr>
            <sz val="9"/>
            <color indexed="81"/>
            <rFont val="Tahoma"/>
            <family val="2"/>
          </rPr>
          <t xml:space="preserve">
Prices of fertilizer nutrient purchases avoided because they are replaced by manure or digestate land applications</t>
        </r>
      </text>
    </comment>
    <comment ref="F79" authorId="0" shapeId="0" xr:uid="{D4913E2B-A275-4D02-879F-BE6A3F532242}">
      <text>
        <r>
          <rPr>
            <b/>
            <sz val="9"/>
            <color indexed="81"/>
            <rFont val="Tahoma"/>
            <family val="2"/>
          </rPr>
          <t>William F Lazarus:</t>
        </r>
        <r>
          <rPr>
            <sz val="9"/>
            <color indexed="81"/>
            <rFont val="Tahoma"/>
            <family val="2"/>
          </rPr>
          <t xml:space="preserve">
2022 ISU survey</t>
        </r>
      </text>
    </comment>
    <comment ref="V79" authorId="0" shapeId="0" xr:uid="{4A48C890-294F-4F77-A64A-117B3D3EC661}">
      <text>
        <r>
          <rPr>
            <b/>
            <sz val="9"/>
            <color indexed="81"/>
            <rFont val="Tahoma"/>
            <family val="2"/>
          </rPr>
          <t>William F Lazarus:</t>
        </r>
        <r>
          <rPr>
            <sz val="9"/>
            <color indexed="81"/>
            <rFont val="Tahoma"/>
            <family val="2"/>
          </rPr>
          <t xml:space="preserve">
2022 ISU survey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William F Lazarus</author>
  </authors>
  <commentList>
    <comment ref="C43" authorId="0" shapeId="0" xr:uid="{87E3E1C6-3652-46E6-BE5E-4B4735C3D64E}">
      <text>
        <r>
          <rPr>
            <b/>
            <sz val="9"/>
            <color indexed="81"/>
            <rFont val="Tahoma"/>
            <family val="2"/>
          </rPr>
          <t>William F Lazarus:</t>
        </r>
        <r>
          <rPr>
            <sz val="9"/>
            <color indexed="81"/>
            <rFont val="Tahoma"/>
            <family val="2"/>
          </rPr>
          <t xml:space="preserve">
iowa 8/22
</t>
        </r>
      </text>
    </comment>
    <comment ref="B44" authorId="0" shapeId="0" xr:uid="{82A4B756-16C0-40E4-BFC3-88DE80C4F0D9}">
      <text>
        <r>
          <rPr>
            <b/>
            <sz val="9"/>
            <color indexed="81"/>
            <rFont val="Tahoma"/>
            <family val="2"/>
          </rPr>
          <t>William F Lazarus:</t>
        </r>
        <r>
          <rPr>
            <sz val="9"/>
            <color indexed="81"/>
            <rFont val="Tahoma"/>
            <family val="2"/>
          </rPr>
          <t xml:space="preserve">
From nutrient mgmt plan, nutrient lb/1000 gal 
</t>
        </r>
      </text>
    </comment>
    <comment ref="C44" authorId="0" shapeId="0" xr:uid="{4ACB4912-EC05-4F3E-A36A-73DD5E70FFA0}">
      <text>
        <r>
          <rPr>
            <b/>
            <sz val="9"/>
            <color indexed="81"/>
            <rFont val="Tahoma"/>
            <family val="2"/>
          </rPr>
          <t>William F Lazarus:</t>
        </r>
        <r>
          <rPr>
            <sz val="9"/>
            <color indexed="81"/>
            <rFont val="Tahoma"/>
            <family val="2"/>
          </rPr>
          <t xml:space="preserve">
from MSU
</t>
        </r>
      </text>
    </comment>
    <comment ref="AG44" authorId="0" shapeId="0" xr:uid="{9AA7DF9D-1039-484F-A1AF-EB26EA99F07F}">
      <text>
        <r>
          <rPr>
            <b/>
            <sz val="9"/>
            <color indexed="81"/>
            <rFont val="Tahoma"/>
            <family val="2"/>
          </rPr>
          <t>William F Lazarus:</t>
        </r>
        <r>
          <rPr>
            <sz val="9"/>
            <color indexed="81"/>
            <rFont val="Tahoma"/>
            <family val="2"/>
          </rPr>
          <t xml:space="preserve">
assumes November harvest, from Wilson et al., 2021
</t>
        </r>
      </text>
    </comment>
    <comment ref="B47" authorId="0" shapeId="0" xr:uid="{AE8119CD-65C7-4EFB-BB00-A9D7AD2F5FB5}">
      <text>
        <r>
          <rPr>
            <b/>
            <sz val="9"/>
            <color indexed="81"/>
            <rFont val="Tahoma"/>
            <family val="2"/>
          </rPr>
          <t>William F Lazarus:</t>
        </r>
        <r>
          <rPr>
            <sz val="9"/>
            <color indexed="81"/>
            <rFont val="Tahoma"/>
            <family val="2"/>
          </rPr>
          <t xml:space="preserve">
From nutrient mgmt plan, nutrient lb/1000 gal 
</t>
        </r>
      </text>
    </comment>
    <comment ref="C47" authorId="0" shapeId="0" xr:uid="{FC1154ED-9905-4A33-B375-26922DF81256}">
      <text>
        <r>
          <rPr>
            <b/>
            <sz val="9"/>
            <color indexed="81"/>
            <rFont val="Tahoma"/>
            <family val="2"/>
          </rPr>
          <t>William F Lazarus:</t>
        </r>
        <r>
          <rPr>
            <sz val="9"/>
            <color indexed="81"/>
            <rFont val="Tahoma"/>
            <family val="2"/>
          </rPr>
          <t xml:space="preserve">
from MSU
</t>
        </r>
      </text>
    </comment>
    <comment ref="AG47" authorId="0" shapeId="0" xr:uid="{9339974E-0E59-4AAB-93AA-F39714F7E489}">
      <text>
        <r>
          <rPr>
            <b/>
            <sz val="9"/>
            <color indexed="81"/>
            <rFont val="Tahoma"/>
            <family val="2"/>
          </rPr>
          <t>William F Lazarus:</t>
        </r>
        <r>
          <rPr>
            <sz val="9"/>
            <color indexed="81"/>
            <rFont val="Tahoma"/>
            <family val="2"/>
          </rPr>
          <t xml:space="preserve">
from Vogel et al., 2017</t>
        </r>
      </text>
    </comment>
    <comment ref="B48" authorId="0" shapeId="0" xr:uid="{F33A769B-2D3E-4279-9719-C7C825829F2B}">
      <text>
        <r>
          <rPr>
            <b/>
            <sz val="9"/>
            <color indexed="81"/>
            <rFont val="Tahoma"/>
            <family val="2"/>
          </rPr>
          <t>William F Lazarus:</t>
        </r>
        <r>
          <rPr>
            <sz val="9"/>
            <color indexed="81"/>
            <rFont val="Tahoma"/>
            <family val="2"/>
          </rPr>
          <t xml:space="preserve">
From nutrient mgmt plan, nutrient lb/1000 gal 
</t>
        </r>
      </text>
    </comment>
    <comment ref="AG48" authorId="0" shapeId="0" xr:uid="{08DD9372-F509-4CEB-B609-D6C7917CFF68}">
      <text>
        <r>
          <rPr>
            <b/>
            <sz val="9"/>
            <color indexed="81"/>
            <rFont val="Tahoma"/>
            <family val="2"/>
          </rPr>
          <t>William F Lazarus:</t>
        </r>
        <r>
          <rPr>
            <sz val="9"/>
            <color indexed="81"/>
            <rFont val="Tahoma"/>
            <family val="2"/>
          </rPr>
          <t xml:space="preserve">
from Vogel et al., 2017</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<sst xmlns="http://schemas.openxmlformats.org/spreadsheetml/2006/main" count="1881" uniqueCount="918">
  <si>
    <t>$</t>
  </si>
  <si>
    <t>%</t>
  </si>
  <si>
    <t>kWh</t>
  </si>
  <si>
    <t>years</t>
  </si>
  <si>
    <t>Construction Period</t>
  </si>
  <si>
    <t>Federal Income Tax Rate</t>
  </si>
  <si>
    <t>State Income Tax Rate</t>
  </si>
  <si>
    <t>?</t>
  </si>
  <si>
    <t>Operating Expenses</t>
  </si>
  <si>
    <t>Yes</t>
  </si>
  <si>
    <t>Project Size and Performance</t>
  </si>
  <si>
    <t>Is owner a taxable entity?</t>
  </si>
  <si>
    <t>ITC utilization factor, if applicable</t>
  </si>
  <si>
    <t>Notes</t>
  </si>
  <si>
    <t>Check</t>
  </si>
  <si>
    <t>5-year MACRS</t>
  </si>
  <si>
    <t>15-year MACRS</t>
  </si>
  <si>
    <t>15-year SL</t>
  </si>
  <si>
    <t>20-year SL</t>
  </si>
  <si>
    <t>Non-Depreciable</t>
  </si>
  <si>
    <t>Federal Incentives</t>
  </si>
  <si>
    <t>Utilization Factor, if applicable</t>
  </si>
  <si>
    <t>Cost Category</t>
  </si>
  <si>
    <t>year</t>
  </si>
  <si>
    <t>Generator Nameplate Capacity</t>
  </si>
  <si>
    <t>Effective Income Tax Rate</t>
  </si>
  <si>
    <t>State ITC realization period</t>
  </si>
  <si>
    <t>yrs</t>
  </si>
  <si>
    <t>Permanent Financing</t>
  </si>
  <si>
    <t>Interest Rate (Annual)</t>
  </si>
  <si>
    <t>months</t>
  </si>
  <si>
    <t>Interest During Construction</t>
  </si>
  <si>
    <t># of months of O&amp;M Expense</t>
  </si>
  <si>
    <t>Initial O&amp;M and WC Reserve</t>
  </si>
  <si>
    <t>Other Equity &amp; Debt Closing Costs</t>
  </si>
  <si>
    <t>Inputs Summary</t>
  </si>
  <si>
    <t>Outputs Summary</t>
  </si>
  <si>
    <t>Years</t>
  </si>
  <si>
    <t>¢/kWh</t>
  </si>
  <si>
    <t>Annual Project Cash Flows, Returns &amp; Other Metrics</t>
  </si>
  <si>
    <t>Revenue</t>
  </si>
  <si>
    <t>Year</t>
  </si>
  <si>
    <t>Cumulative Cash Flow</t>
  </si>
  <si>
    <t>After Tax IRR</t>
  </si>
  <si>
    <t>Debt Service</t>
  </si>
  <si>
    <t>Coverage</t>
  </si>
  <si>
    <t>Current Model Run</t>
  </si>
  <si>
    <t>units</t>
  </si>
  <si>
    <t>COD</t>
  </si>
  <si>
    <t>Project Expenses</t>
  </si>
  <si>
    <t>Operating Income After Interest Expense</t>
  </si>
  <si>
    <t>Pre-Tax Cash Flow to Equity</t>
  </si>
  <si>
    <t>Project Cash Flows</t>
  </si>
  <si>
    <t>Running IRR (Cash Only)</t>
  </si>
  <si>
    <t>Supporting Calculations</t>
  </si>
  <si>
    <t>5 Year MACRS</t>
  </si>
  <si>
    <t>15 Year MACRS</t>
  </si>
  <si>
    <t>20 Year MACRS</t>
  </si>
  <si>
    <t>20 Year SL</t>
  </si>
  <si>
    <t>39 Year SL</t>
  </si>
  <si>
    <t>Total Project Cost, adj for ITC/Grant if applicable</t>
  </si>
  <si>
    <t xml:space="preserve">Total  </t>
  </si>
  <si>
    <t xml:space="preserve">Debt Service:            </t>
  </si>
  <si>
    <t>Size of Debt</t>
  </si>
  <si>
    <t>Debt Sizing (Defined Capital Structure Method)</t>
  </si>
  <si>
    <t>Defined Debt-to-Total-Capital</t>
  </si>
  <si>
    <t>Beginning Balance</t>
  </si>
  <si>
    <t>Drawdowns</t>
  </si>
  <si>
    <t>Ending Balance</t>
  </si>
  <si>
    <t>Interest</t>
  </si>
  <si>
    <t>Principal</t>
  </si>
  <si>
    <t>Structured Debt Service Payment</t>
  </si>
  <si>
    <t>Depreciation Allocation</t>
  </si>
  <si>
    <t>% Eligible for ITC</t>
  </si>
  <si>
    <t>placeholder</t>
  </si>
  <si>
    <t>Reserves &amp; Financing Costs</t>
  </si>
  <si>
    <t>Tariff Rate &amp; Cash Incentives</t>
  </si>
  <si>
    <t>Federal Cash Incentive Rate</t>
  </si>
  <si>
    <t xml:space="preserve">Federal Cash Incentive  </t>
  </si>
  <si>
    <t>State Cash Incentive Rate</t>
  </si>
  <si>
    <t xml:space="preserve">State Cash Incentive  </t>
  </si>
  <si>
    <t>Operating Expense Inflation Factor</t>
  </si>
  <si>
    <t>Fixed O&amp;M Expense</t>
  </si>
  <si>
    <t>Project Revenue, All Sources</t>
  </si>
  <si>
    <t xml:space="preserve">Total Operating Expenses </t>
  </si>
  <si>
    <t>EBITDA (Operating Income)</t>
  </si>
  <si>
    <t>Principal Repayments</t>
  </si>
  <si>
    <t>Loan Amortization</t>
  </si>
  <si>
    <t xml:space="preserve">Loan Repayment </t>
  </si>
  <si>
    <t>Repayment of Loan Principal</t>
  </si>
  <si>
    <t>Loan Interest Expense</t>
  </si>
  <si>
    <t>Net Pre-Tax Cash Flow to Equity</t>
  </si>
  <si>
    <t>Project/Contract Year</t>
  </si>
  <si>
    <t>Depreciation Schedules, Half-Year Convention</t>
  </si>
  <si>
    <t>7 Year MACRS</t>
  </si>
  <si>
    <t>5 Year SL</t>
  </si>
  <si>
    <t>15 Year SL</t>
  </si>
  <si>
    <t>7-year MACRS</t>
  </si>
  <si>
    <t>20-year MACRS</t>
  </si>
  <si>
    <t>5-year SL</t>
  </si>
  <si>
    <t>39-year SL</t>
  </si>
  <si>
    <t>Allocation</t>
  </si>
  <si>
    <t xml:space="preserve">ITC or Cash Grant  </t>
  </si>
  <si>
    <t>check</t>
  </si>
  <si>
    <t>Total Installed Cost</t>
  </si>
  <si>
    <t>No</t>
  </si>
  <si>
    <t>Federal Income Taxes Saved / (Paid), before ITC/PTC</t>
  </si>
  <si>
    <t>Running IRR (After Tax)</t>
  </si>
  <si>
    <t>After-Tax Cash Flow to Equity</t>
  </si>
  <si>
    <t>Cash Benefit of State ITC and/or PTC</t>
  </si>
  <si>
    <t>State PBI Escalator, if applicable</t>
  </si>
  <si>
    <t>Annual Debt Service Coverage Ratio</t>
  </si>
  <si>
    <t>Depreciation:</t>
  </si>
  <si>
    <t>Annual Depreciation Expense, Initial Installation</t>
  </si>
  <si>
    <t>Annual Depreciation Expense, Repairs &amp; Replacements</t>
  </si>
  <si>
    <t>Depreciation Timing</t>
  </si>
  <si>
    <t>Depreciation Expense</t>
  </si>
  <si>
    <t>Tax</t>
  </si>
  <si>
    <t>After Tax Cash Flow</t>
  </si>
  <si>
    <t>Generation Equipment</t>
  </si>
  <si>
    <t>Depreciation Classification</t>
  </si>
  <si>
    <t>Balance of Plant</t>
  </si>
  <si>
    <t>Interconnection</t>
  </si>
  <si>
    <t>Development Costs &amp; Fee</t>
  </si>
  <si>
    <t>Total Generation Equipment Cost</t>
  </si>
  <si>
    <t>Total Project Costs</t>
  </si>
  <si>
    <t>Total Balance of Plant Cost</t>
  </si>
  <si>
    <t>Total Interconnection Cost</t>
  </si>
  <si>
    <t>$ Eligible for ITC</t>
  </si>
  <si>
    <t>Lender Fee</t>
  </si>
  <si>
    <t>Initial Funding of Debt Service &amp; Working Capital/O&amp;M Reserves</t>
  </si>
  <si>
    <t>Total Development Costs &amp; Fees</t>
  </si>
  <si>
    <t>Other Closing Costs</t>
  </si>
  <si>
    <t>Other Grants or Rebates</t>
  </si>
  <si>
    <t>State Income Taxes Saved / (Paid), before ITC/PTC</t>
  </si>
  <si>
    <t>Annual Depreciation Benefit</t>
  </si>
  <si>
    <t>Pass/Fail</t>
  </si>
  <si>
    <t>Min DSCR</t>
  </si>
  <si>
    <t>Taxable Entity? (turns on/off ITC and depreciation input cells)</t>
  </si>
  <si>
    <t>Construction Financing</t>
  </si>
  <si>
    <t>Federal PTC (as generated)</t>
  </si>
  <si>
    <t>State PTC (as generated)</t>
  </si>
  <si>
    <t xml:space="preserve">ITC Amount </t>
  </si>
  <si>
    <t>Paste Results of Multiple Model Runs Below</t>
  </si>
  <si>
    <t>[Insert Scenario Name]</t>
  </si>
  <si>
    <t>Results of multiple scenarios may be compared here by using the "copy" and "paste special - values" feature to transfer values from column D to columns F through O</t>
  </si>
  <si>
    <t>Interest Rate on Term Debt</t>
  </si>
  <si>
    <t>Project Useful Life</t>
  </si>
  <si>
    <t>Complex Inputs for Deriving Total Project Capital Cost, if applicable</t>
  </si>
  <si>
    <t>Required Minimum Annual DSCR</t>
  </si>
  <si>
    <t xml:space="preserve">ITC or Cash Grant Amount </t>
  </si>
  <si>
    <t>Project</t>
  </si>
  <si>
    <t>Summary Results</t>
  </si>
  <si>
    <t>Taxable Income / (Operating Loss)</t>
  </si>
  <si>
    <t>Operating Loss Carry-Forward, if applicable:</t>
  </si>
  <si>
    <t>Utilization of Operating Loss Carry-Forward</t>
  </si>
  <si>
    <t>Operating Loss Carry-Forward, Beginning Balance</t>
  </si>
  <si>
    <t>Additional Operating Loss Carried-Forward</t>
  </si>
  <si>
    <t>Operating Loss Carry-Forward, Ending Balance</t>
  </si>
  <si>
    <t>Taxable Income with Operating Loss Carry-Forward</t>
  </si>
  <si>
    <t>Annual Depreciation Expense</t>
  </si>
  <si>
    <t>Federal Tax Credit Benefits, if applicable:</t>
  </si>
  <si>
    <t>Federal ITC (as generated)</t>
  </si>
  <si>
    <t>State ITC (as generated)</t>
  </si>
  <si>
    <t>Applicable Tax Credits, as generated</t>
  </si>
  <si>
    <t>Carry-Forward Scenario:</t>
  </si>
  <si>
    <t>State Tax Credit Benefits, if applicable:</t>
  </si>
  <si>
    <t>State Grants Treated as Taxable Income?</t>
  </si>
  <si>
    <t>Federal Grants Treated as Taxable Income?</t>
  </si>
  <si>
    <t>% Debt (% of hard costs) (mortgage-style amort.)</t>
  </si>
  <si>
    <t>Equity (funds balance of hard costs + all soft costs)</t>
  </si>
  <si>
    <t>Summary of Sources of Funding for Total Installed Cost</t>
  </si>
  <si>
    <t>Actual Average DSCR</t>
  </si>
  <si>
    <t>Required Average DSCR</t>
  </si>
  <si>
    <t>Avg. DSCR</t>
  </si>
  <si>
    <t>Equity Investment</t>
  </si>
  <si>
    <t>Pre-Tax Cash Flow</t>
  </si>
  <si>
    <t>Expenses + Cash Obligations</t>
  </si>
  <si>
    <t>Graph Data</t>
  </si>
  <si>
    <t>Cash Benefit of Federal ITC, Cash Grant, or PTC</t>
  </si>
  <si>
    <t>Target After-Tax Equity IRR</t>
  </si>
  <si>
    <t>Production, Yr 1</t>
  </si>
  <si>
    <t>Tax Benefit Carry-Forward, Beginning Balance</t>
  </si>
  <si>
    <t>Additional Tax Benefit Carry-Forward</t>
  </si>
  <si>
    <t>Utilization of Tax Benefit Carry-Forward</t>
  </si>
  <si>
    <t>Tax Benefit Carry-Forward, Ending Balance</t>
  </si>
  <si>
    <r>
      <t xml:space="preserve">Taxable Income </t>
    </r>
    <r>
      <rPr>
        <sz val="12"/>
        <rFont val="Arial"/>
        <family val="2"/>
      </rPr>
      <t>(operating loss used as generated)</t>
    </r>
  </si>
  <si>
    <r>
      <t>Taxable Income (Federal)</t>
    </r>
    <r>
      <rPr>
        <sz val="12"/>
        <rFont val="Arial"/>
        <family val="2"/>
      </rPr>
      <t>,           operating loss treatment ==&gt;&gt;</t>
    </r>
  </si>
  <si>
    <r>
      <t>Taxable Income (State),</t>
    </r>
    <r>
      <rPr>
        <sz val="12"/>
        <rFont val="Arial"/>
        <family val="2"/>
      </rPr>
      <t xml:space="preserve">               operating loss treatment ==&gt;&gt;</t>
    </r>
  </si>
  <si>
    <t>Federal Tax Benefits used as generated or carried forward?</t>
  </si>
  <si>
    <t>State Tax Benefits used as generated or carried forward?</t>
  </si>
  <si>
    <t>Federal Carry-Forward</t>
  </si>
  <si>
    <t>State Carry-Forward</t>
  </si>
  <si>
    <t>Units</t>
  </si>
  <si>
    <t>Unit Definitions</t>
  </si>
  <si>
    <t>Pass/Fail – denotes whether the two debt service coverage ratio tests have passed or failed.</t>
  </si>
  <si>
    <t>(kW) kilowatt – a standard measure of electrical capacity, equal to 1000 Watts.</t>
  </si>
  <si>
    <t>(kWh) kilowatt hour – a standard measure of electrical output. A 1 kW generator operating at rated capacity for one hour will produce 1 kWh of electricity.</t>
  </si>
  <si>
    <t>(¢/kWh) –cents per kilowatt hour</t>
  </si>
  <si>
    <t>(%) – an input with units expressed as a percentage</t>
  </si>
  <si>
    <t>(years or year) – an input applicable to a specified duration or project year</t>
  </si>
  <si>
    <t>($/yr) – inputs measured in dollars and applied annually</t>
  </si>
  <si>
    <t>(months) –designates the number of months to which an input applies</t>
  </si>
  <si>
    <r>
      <t xml:space="preserve">Does modeled project meet </t>
    </r>
    <r>
      <rPr>
        <b/>
        <i/>
        <sz val="11"/>
        <color theme="1"/>
        <rFont val="Arial"/>
        <family val="2"/>
      </rPr>
      <t>minimum</t>
    </r>
    <r>
      <rPr>
        <b/>
        <sz val="11"/>
        <color theme="1"/>
        <rFont val="Arial"/>
        <family val="2"/>
      </rPr>
      <t xml:space="preserve"> DSCR requirements?</t>
    </r>
  </si>
  <si>
    <t>Investment Tax Credit (ITC) or Cash Grant?</t>
  </si>
  <si>
    <t>Type of Federal Incentive Assumed</t>
  </si>
  <si>
    <t>Is Performance-Based Incentive Tax Credit or Cash Pmt?</t>
  </si>
  <si>
    <t>Click Here for Complex Input Worksheet</t>
  </si>
  <si>
    <t>($/kW-yr) – an annual expense (or revenue) based on generator capacity</t>
  </si>
  <si>
    <t>Weighted Average Cost of Capital (WACC)</t>
  </si>
  <si>
    <t>Click Here for Complex Input Worksheets</t>
  </si>
  <si>
    <t>As Generated</t>
  </si>
  <si>
    <t>Did you confirm that all minimum required inputs have green check cells?</t>
  </si>
  <si>
    <t>Press F9 each time inputs are changed to ensure completion of the COE calculation.  
When "#N/A" appears,  press "F9" in the upper row on your keyboard to complete the calculation.  It may be necessary to press F9 more than once. See note for details.</t>
  </si>
  <si>
    <t>Minimum DSCR Check Cell (If "Fail," read note ==&gt;)</t>
  </si>
  <si>
    <t>Average DSCR Check Cell (If "Fail," read note ==&gt;)</t>
  </si>
  <si>
    <t>Input Value</t>
  </si>
  <si>
    <t>kW</t>
  </si>
  <si>
    <t>$/kW</t>
  </si>
  <si>
    <t>Adjustment to Cost Basis for ITC &amp; Non-taxable Grants</t>
  </si>
  <si>
    <t>Bonus Depreciation</t>
  </si>
  <si>
    <t>% of Bonus Depreciation applied in Year 1</t>
  </si>
  <si>
    <t>Allocation of Costs</t>
  </si>
  <si>
    <t>Project Cost Allocation</t>
  </si>
  <si>
    <t>Before</t>
  </si>
  <si>
    <t xml:space="preserve">% </t>
  </si>
  <si>
    <t xml:space="preserve">After </t>
  </si>
  <si>
    <t>Adjustments</t>
  </si>
  <si>
    <t>Unadjusted</t>
  </si>
  <si>
    <t>Adjusted</t>
  </si>
  <si>
    <t>Project Cost Basis</t>
  </si>
  <si>
    <t>Federal Taxable Income</t>
  </si>
  <si>
    <t>State Taxable Income</t>
  </si>
  <si>
    <t>Federal Tax 
Benefit/ (Liability)</t>
  </si>
  <si>
    <t>State Tax 
Benefit/ (Liability)</t>
  </si>
  <si>
    <t>Revenue + Tax Benefit/(Liability)</t>
  </si>
  <si>
    <t>Pre-Tax (Cash-only) Equity IRR (over defined Useful Life)</t>
  </si>
  <si>
    <t>After Tax Equity IRR (over defined Useful Life)</t>
  </si>
  <si>
    <t>Notes: (Users may enter descriptive text about their model run)</t>
  </si>
  <si>
    <t>Total State ITC, over realization period</t>
  </si>
  <si>
    <t>Cash</t>
  </si>
  <si>
    <t>Operating Expenses, Aggregated, Yr 1</t>
  </si>
  <si>
    <t>Debt Term</t>
  </si>
  <si>
    <t>Federal Tax Benefts Used "as generated" or "carried forward"?</t>
  </si>
  <si>
    <t>State Tax Benefts Used "as generated" or "carried forward"?</t>
  </si>
  <si>
    <t>Total of Grants or Rebates</t>
  </si>
  <si>
    <t>Bonus Depreciation assumed?</t>
  </si>
  <si>
    <r>
      <rPr>
        <sz val="11"/>
        <color theme="1"/>
        <rFont val="Calibri"/>
        <family val="2"/>
      </rPr>
      <t>¢</t>
    </r>
    <r>
      <rPr>
        <i/>
        <sz val="11"/>
        <color theme="1"/>
        <rFont val="Arial"/>
        <family val="2"/>
      </rPr>
      <t>/kWh</t>
    </r>
  </si>
  <si>
    <t>Total $ Cap on State Rebates/Grants</t>
  </si>
  <si>
    <t>Annual $ Cap on Performance-Based Incentive</t>
  </si>
  <si>
    <t>State Rebates, Tax Credits and/or REC Revenue</t>
  </si>
  <si>
    <t>Select Form of Federal Incentives</t>
  </si>
  <si>
    <t>Additional State Rebates/Grants</t>
  </si>
  <si>
    <t>Select Form of State Incentive</t>
  </si>
  <si>
    <t>cubic feet/day</t>
  </si>
  <si>
    <t>BTU/cubic foot</t>
  </si>
  <si>
    <t>cubic feet/year</t>
  </si>
  <si>
    <t>MMBTU/year</t>
  </si>
  <si>
    <t>Heat Rate</t>
  </si>
  <si>
    <t>BTU/kWh</t>
  </si>
  <si>
    <t>Energy Content per Cubic Foot</t>
  </si>
  <si>
    <t>Energy Content per Year</t>
  </si>
  <si>
    <t>Station Service (Parasitic Load)</t>
  </si>
  <si>
    <t>Biogas Consumption per Year</t>
  </si>
  <si>
    <t>$/ton</t>
  </si>
  <si>
    <t>Tipping Fees</t>
  </si>
  <si>
    <t>All inputs must be provided and validated by the user.</t>
  </si>
  <si>
    <t>Supplemental Revenue</t>
  </si>
  <si>
    <t>Capital Expenditures During Operations (capitalized and depreciated)</t>
  </si>
  <si>
    <t>Performance-Based</t>
  </si>
  <si>
    <t>Electrical Conversion Efficiency</t>
  </si>
  <si>
    <t>Electricity Production</t>
  </si>
  <si>
    <t>% Equity (% hard costs) (soft costs also equity funded)</t>
  </si>
  <si>
    <t>ITC</t>
  </si>
  <si>
    <t>PTC Rate</t>
  </si>
  <si>
    <t>PTC Duration</t>
  </si>
  <si>
    <t>PTC Escalation Rate</t>
  </si>
  <si>
    <t>Avoided Space Heating Costs</t>
  </si>
  <si>
    <t>Avoided Cost of Waste Heat</t>
  </si>
  <si>
    <t>$/year</t>
  </si>
  <si>
    <t>Electricity sales revenue</t>
  </si>
  <si>
    <t>Electricity Value</t>
  </si>
  <si>
    <t>Federal PTC Escalator, if applicable</t>
  </si>
  <si>
    <t>$/kWh</t>
  </si>
  <si>
    <t>Electricity rate</t>
  </si>
  <si>
    <t>Electricity rate, year 1</t>
  </si>
  <si>
    <t>Data for graph</t>
  </si>
  <si>
    <t>Electricity</t>
  </si>
  <si>
    <t>Waste Heat</t>
  </si>
  <si>
    <t>Govt incentives</t>
  </si>
  <si>
    <t>O&amp;M</t>
  </si>
  <si>
    <t>Taxes</t>
  </si>
  <si>
    <t>If cash, is state incentive taxable?</t>
  </si>
  <si>
    <t>AEC Utilization Factor, if applicable</t>
  </si>
  <si>
    <t>Pennsylvania alternative energy credit (AEC) rate</t>
  </si>
  <si>
    <t>AEC Payment Duration</t>
  </si>
  <si>
    <t>AEC Escalation Rate (pos. or neg.)</t>
  </si>
  <si>
    <t>Total cash inflows</t>
  </si>
  <si>
    <t>Total cash outflows</t>
  </si>
  <si>
    <t>Net cash flow</t>
  </si>
  <si>
    <t>Principal payments</t>
  </si>
  <si>
    <t>Equipment replacement</t>
  </si>
  <si>
    <t>Tipping fee/ton</t>
  </si>
  <si>
    <t>Annualized NPV</t>
  </si>
  <si>
    <t>ft3/m3</t>
  </si>
  <si>
    <t>Outputs</t>
  </si>
  <si>
    <t>data entry cells</t>
  </si>
  <si>
    <t>conversion factors</t>
  </si>
  <si>
    <t>= calculated cells</t>
  </si>
  <si>
    <t>metric tonnes/ton</t>
  </si>
  <si>
    <t>ha/acre</t>
  </si>
  <si>
    <t>ha/km2</t>
  </si>
  <si>
    <t>kg/lb</t>
  </si>
  <si>
    <t>lb/gallon</t>
  </si>
  <si>
    <t>change</t>
  </si>
  <si>
    <t>fert price</t>
  </si>
  <si>
    <t>min of applied or rec</t>
  </si>
  <si>
    <t>fert value</t>
  </si>
  <si>
    <t>P content</t>
  </si>
  <si>
    <t>K content</t>
  </si>
  <si>
    <t>N rate applied, lb/a</t>
  </si>
  <si>
    <t>acres applied</t>
  </si>
  <si>
    <t>P applied/acre</t>
  </si>
  <si>
    <t>K applied/acre</t>
  </si>
  <si>
    <t>total fert value</t>
  </si>
  <si>
    <t>gallons applied/acre</t>
  </si>
  <si>
    <t>https://www.extension.iastate.edu/agdm/crops/pdf/a3-10.pdf</t>
  </si>
  <si>
    <t>fert value net of app cost</t>
  </si>
  <si>
    <t>total/farm</t>
  </si>
  <si>
    <t>app cost</t>
  </si>
  <si>
    <t>Calculation of fertilizer replacement value and application cost for manure, food waste, and baled warm season grass</t>
  </si>
  <si>
    <t>manure, including solids and liquid</t>
  </si>
  <si>
    <t>food waste, including solids and liquid</t>
  </si>
  <si>
    <t>Assumptions:</t>
  </si>
  <si>
    <t>Intermediate level of capital cost items</t>
  </si>
  <si>
    <t>Federal grants are treated as taxable income.</t>
  </si>
  <si>
    <t>Federal incentives (renewable energy production credits) are performance-based and in the form of tax credits rather than cash.</t>
  </si>
  <si>
    <t>State incentives (alternative energy credits) are performance-based and paid in cash.</t>
  </si>
  <si>
    <t>State grants are treated as taxable income.</t>
  </si>
  <si>
    <t>Equipment replacements are done every four years.</t>
  </si>
  <si>
    <t>Decommissioning reserve is funded from the salvage value.</t>
  </si>
  <si>
    <t>Bonus depreciation is not included.</t>
  </si>
  <si>
    <t>Key inputs:</t>
  </si>
  <si>
    <t>O&amp;M cost in year 1 is fixed and does not vary with kwh.</t>
  </si>
  <si>
    <t>O&amp;M cost inflation rate is constant over the project life.</t>
  </si>
  <si>
    <t>Revenues</t>
  </si>
  <si>
    <t>O&amp;M, revenues, and incentives all escalate at the same inflation rate.</t>
  </si>
  <si>
    <t>Sludge cleanout</t>
  </si>
  <si>
    <t>Tipping fee sensitivity analysis</t>
  </si>
  <si>
    <t>changing cells</t>
  </si>
  <si>
    <t>Adding switchgrass scenario analysis (Excel one-way data table)</t>
  </si>
  <si>
    <t>tons/day</t>
  </si>
  <si>
    <t>Initial equity</t>
  </si>
  <si>
    <t>Equip replace</t>
  </si>
  <si>
    <t>Total solids, % before digestion</t>
  </si>
  <si>
    <t>total</t>
  </si>
  <si>
    <t>grass solids</t>
  </si>
  <si>
    <t>grass, including solids and liquid</t>
  </si>
  <si>
    <t>Total</t>
  </si>
  <si>
    <t>Digestion/separation impact on weight</t>
  </si>
  <si>
    <t>gallons/year</t>
  </si>
  <si>
    <t>food waste solids %</t>
  </si>
  <si>
    <t>manure solids %</t>
  </si>
  <si>
    <t>Volume ready for land application, total</t>
  </si>
  <si>
    <t>lb total annual</t>
  </si>
  <si>
    <t>lb total annual, grass</t>
  </si>
  <si>
    <t>grass percent of DM</t>
  </si>
  <si>
    <t>Tipping Fee, $/ton</t>
  </si>
  <si>
    <t>Quantity Received Each Year, tons</t>
  </si>
  <si>
    <t>Avoided Cost of Waste Heat, $/year</t>
  </si>
  <si>
    <t>Debt Term, years</t>
  </si>
  <si>
    <t>Federal Income Tax Rate, %</t>
  </si>
  <si>
    <t>State Income Tax Rate, %</t>
  </si>
  <si>
    <t>Electricity rate received in year 1, $/kWh</t>
  </si>
  <si>
    <t>Year of sludge cleanout</t>
  </si>
  <si>
    <t>Sludge cleanout cost  ($ in year 1 prices)</t>
  </si>
  <si>
    <t>Include warm season grasses in the analysis?</t>
  </si>
  <si>
    <t>Inputs currently included in the analysis</t>
  </si>
  <si>
    <t>Other Performance, Cost, Operating, Tax &amp; Financing Inputs Not Included in  the "Key Inputs "Sheet</t>
  </si>
  <si>
    <t>Data entry cell</t>
  </si>
  <si>
    <t>Value brought from Key Inputs</t>
  </si>
  <si>
    <t>Calculated cell</t>
  </si>
  <si>
    <t>Key to cell colors:</t>
  </si>
  <si>
    <t>Are warm season grasses included in the analysis?</t>
  </si>
  <si>
    <t>Changing</t>
  </si>
  <si>
    <t>% change</t>
  </si>
  <si>
    <t>Electricity rate sensitivity analysis</t>
  </si>
  <si>
    <t>Useful life sensitivity analysis</t>
  </si>
  <si>
    <t>Capital costs:</t>
  </si>
  <si>
    <t>O&amp;M Expense, in year 1 dollars</t>
  </si>
  <si>
    <t>Click here to view sensitivity analyses</t>
  </si>
  <si>
    <t>Investment sensitivity analysis (hard costs)</t>
  </si>
  <si>
    <t>Total hard costs</t>
  </si>
  <si>
    <t>O&amp;M sensitivity analysis</t>
  </si>
  <si>
    <t>%/year</t>
  </si>
  <si>
    <t>Nutrient fertilizer value sensitivity analysis</t>
  </si>
  <si>
    <t>Fertilizer value</t>
  </si>
  <si>
    <t>Adding grass - Inputs</t>
  </si>
  <si>
    <t>grass % of total solids</t>
  </si>
  <si>
    <t>tons/year</t>
  </si>
  <si>
    <t>Impact of a 25% increase in:</t>
  </si>
  <si>
    <t>Baseline</t>
  </si>
  <si>
    <t>O&amp;M, $/yr</t>
  </si>
  <si>
    <t>Inflation rate, %</t>
  </si>
  <si>
    <t>Electric rate, $/kWh</t>
  </si>
  <si>
    <t>Tipping fee, $/ton</t>
  </si>
  <si>
    <t>Fertilizer, $/yr</t>
  </si>
  <si>
    <t>Useful life, yrs</t>
  </si>
  <si>
    <t>$/year bedding value</t>
  </si>
  <si>
    <t>Avoided cost of bedding replaced by separated solids, $/yr</t>
  </si>
  <si>
    <t>Avoided Bedding Purchases</t>
  </si>
  <si>
    <t>Electricity Production, Year 1</t>
  </si>
  <si>
    <t>Sludge Cleanout Cost  ($ in year 1 dollars)</t>
  </si>
  <si>
    <t>Decommissioning</t>
  </si>
  <si>
    <t>Decommissioning Cost (in year 1 dollars)</t>
  </si>
  <si>
    <t>Decommissioning Expense</t>
  </si>
  <si>
    <t>Revenue Escalation Factor</t>
  </si>
  <si>
    <t>Avoided Cost of Bedding</t>
  </si>
  <si>
    <t>Revenue Escalator Factor</t>
  </si>
  <si>
    <t>Equity Risk Premium</t>
  </si>
  <si>
    <t>Inflation rate sensitivity analysis (nominal)</t>
  </si>
  <si>
    <t>"Real" Inflation rate sensitivity analysis</t>
  </si>
  <si>
    <t>Nominal interest rate</t>
  </si>
  <si>
    <t>Target rate of return</t>
  </si>
  <si>
    <t>"Real" interest rate</t>
  </si>
  <si>
    <t>Baseline for the "Real" interest rate sensitivity analysis below:</t>
  </si>
  <si>
    <t>"Real"  interest rate on debt</t>
  </si>
  <si>
    <t>Interest Rate on Debt</t>
  </si>
  <si>
    <t>Data for sensitivity analysis graph:</t>
  </si>
  <si>
    <t>tons applied/acre</t>
  </si>
  <si>
    <t>tons/year in manure plan</t>
  </si>
  <si>
    <t>Changes in Performance, Cost, Operating, Tax &amp; Financing Inputs if Adding Grass</t>
  </si>
  <si>
    <t>Acres applied</t>
  </si>
  <si>
    <t>Manure &amp; food waste</t>
  </si>
  <si>
    <t>Value of grants, after-tax</t>
  </si>
  <si>
    <t>Minimum of Biogas Generated or Required per Day</t>
  </si>
  <si>
    <t>Biogas Generated per Day</t>
  </si>
  <si>
    <t>Generator Capacity Actually Utilized</t>
  </si>
  <si>
    <t>Average net generator output considering avail &amp; parasitic</t>
  </si>
  <si>
    <t>Bedding value</t>
  </si>
  <si>
    <t>Manure, food &amp; grass</t>
  </si>
  <si>
    <t>Change due to grass</t>
  </si>
  <si>
    <t>na</t>
  </si>
  <si>
    <t>average biogas generation, cubic feet/day</t>
  </si>
  <si>
    <t>Waste heat avoided cost</t>
  </si>
  <si>
    <t>Manure fertility value net of application</t>
  </si>
  <si>
    <t>acres</t>
  </si>
  <si>
    <t>Corn/Alfalfa Rotation</t>
  </si>
  <si>
    <t>$/acre</t>
  </si>
  <si>
    <t>/acre</t>
  </si>
  <si>
    <t>tons DM/acre</t>
  </si>
  <si>
    <t>Average grass yield</t>
  </si>
  <si>
    <t>Grass price needed to break even with switchgrass costs</t>
  </si>
  <si>
    <t>/ton DM</t>
  </si>
  <si>
    <t>lbs DM/bale</t>
  </si>
  <si>
    <t>Soybeans</t>
  </si>
  <si>
    <t>CRP</t>
  </si>
  <si>
    <t>Switchgrass Costs (per acre)</t>
  </si>
  <si>
    <t xml:space="preserve">* Your responses to the questions in the "Your Production Estimates" worksheet will populate this sheet.  </t>
  </si>
  <si>
    <t>Expected Grass Yield (tons/acre)</t>
  </si>
  <si>
    <t>Bale Size (lbs/bale)</t>
  </si>
  <si>
    <t>Expected Stand Life (years)</t>
  </si>
  <si>
    <t>Bales per acre</t>
  </si>
  <si>
    <t xml:space="preserve">* To use the advanced tool, input your own values in the yellow highlighted cells.  The shaded grey boxes can be changed by changing your inputs on the "Your Production Estimates" worksheet. </t>
  </si>
  <si>
    <t>Price per unit (all years)</t>
  </si>
  <si>
    <t>Units in Field Preparation Year</t>
  </si>
  <si>
    <t>Costs in Field Preparation Year</t>
  </si>
  <si>
    <t>Units in Grass Planting Year</t>
  </si>
  <si>
    <t>Costs in Grass Planting Year</t>
  </si>
  <si>
    <t>Units in 1st Year after Planting</t>
  </si>
  <si>
    <t>Costs in 1st Year after Planting</t>
  </si>
  <si>
    <t>$ per acre</t>
  </si>
  <si>
    <t>Pre-establishment Cost for Field Preparation</t>
  </si>
  <si>
    <t>Brush Mowing</t>
  </si>
  <si>
    <t>$ per pass</t>
  </si>
  <si>
    <t>Disking, Tandem</t>
  </si>
  <si>
    <t>Soil Finishing</t>
  </si>
  <si>
    <t>Herbicide Tolerant Crop</t>
  </si>
  <si>
    <t>Winter-Killed Ground Cover (Oats)</t>
  </si>
  <si>
    <t>Total Cost for Pre-establishment and Field Preparation</t>
  </si>
  <si>
    <t>Pre-harvest Machinery Operations</t>
  </si>
  <si>
    <t>Fertilizer Spreading</t>
  </si>
  <si>
    <t>Spraying Chemicals</t>
  </si>
  <si>
    <t>Drilling, grass seed</t>
  </si>
  <si>
    <t>Total Pre-harvest Machinery Operations</t>
  </si>
  <si>
    <t>Soil Test</t>
  </si>
  <si>
    <t>$ per test</t>
  </si>
  <si>
    <t>Seed Cost (pure live seed)</t>
  </si>
  <si>
    <t>$ per lb</t>
  </si>
  <si>
    <t>Fertilizer</t>
  </si>
  <si>
    <t>Nitrogen (N)</t>
  </si>
  <si>
    <t>$ per pound</t>
  </si>
  <si>
    <t>Potassium (K2O)</t>
  </si>
  <si>
    <t>Annual Lime (including its application)</t>
  </si>
  <si>
    <t>$ per ton</t>
  </si>
  <si>
    <t>Herbicide</t>
  </si>
  <si>
    <t>Burndown (glyphosate)</t>
  </si>
  <si>
    <t>$ per ounce</t>
  </si>
  <si>
    <t>Pre-emergence (Facet L)</t>
  </si>
  <si>
    <t>Post-emergence (2,4 D L)</t>
  </si>
  <si>
    <t>Total Operating Expenses</t>
  </si>
  <si>
    <t>Interest rate</t>
  </si>
  <si>
    <t>Interest Expense on Pre-harvest Machinery Ops and Op Expenses</t>
  </si>
  <si>
    <t>8 month loan</t>
  </si>
  <si>
    <t>Harvest Machinery Operations</t>
  </si>
  <si>
    <t>Mowing</t>
  </si>
  <si>
    <t>Baling, large round with wrap</t>
  </si>
  <si>
    <t>$ per bale</t>
  </si>
  <si>
    <t>Raking</t>
  </si>
  <si>
    <t>Moving to Storage</t>
  </si>
  <si>
    <t>Storage cost</t>
  </si>
  <si>
    <t>Total Harvest Machinery Operations</t>
  </si>
  <si>
    <t>Total Cost of Production by Year (per acre)</t>
  </si>
  <si>
    <t>Total Establishment Costs with Site Prep Yr, if Included (per acre)</t>
  </si>
  <si>
    <t>Effective years</t>
  </si>
  <si>
    <t>Prorated Annual Establishment Costs (per acre)</t>
  </si>
  <si>
    <t>Calculation of annual cash flows and breakevens for the switchgrass comparison to other cropss</t>
  </si>
  <si>
    <t>Yield</t>
  </si>
  <si>
    <t>Yield discounted</t>
  </si>
  <si>
    <t>** The User will not see this worksheet.</t>
  </si>
  <si>
    <t>Role</t>
  </si>
  <si>
    <t>CroppingHistory</t>
  </si>
  <si>
    <t>Yes/No</t>
  </si>
  <si>
    <t>Owner and Operator</t>
  </si>
  <si>
    <t>Cash Renter</t>
  </si>
  <si>
    <t>Pasture for Grazing/Haying</t>
  </si>
  <si>
    <t>Corn/Soybean Rotation</t>
  </si>
  <si>
    <t>More than 15</t>
  </si>
  <si>
    <t>Switchgrass Expense</t>
  </si>
  <si>
    <t>Manure solids content</t>
  </si>
  <si>
    <t>Food waste solids content</t>
  </si>
  <si>
    <t>Grass P, % of dry matter</t>
  </si>
  <si>
    <t>Grass K, % of dry matter</t>
  </si>
  <si>
    <t>Switchgrass budget inputs</t>
  </si>
  <si>
    <t>Manure spreading cost, liquid, $/1,000 gallons</t>
  </si>
  <si>
    <t>Will you include a site preparation year before the grass planting year?</t>
  </si>
  <si>
    <t>Price or value per unit (enter "1" if the yield is entered as '$')</t>
  </si>
  <si>
    <t>Estimated yield or revenue/acre of the crop replaced</t>
  </si>
  <si>
    <t>Annual non-land production costs for this crop</t>
  </si>
  <si>
    <t>Percent of the rotation in this crop (enter 100% if only one crop)</t>
  </si>
  <si>
    <t>bushel</t>
  </si>
  <si>
    <t>1st crop that the switchgrass replaces or competes with for land</t>
  </si>
  <si>
    <t>1 = site prep year included</t>
  </si>
  <si>
    <t>Expected annualized costs to grow switchgrass</t>
  </si>
  <si>
    <t>Average annual net return for the alternative crop(s) on this land</t>
  </si>
  <si>
    <t>Grass price needed to match the return for the alternative crop(s)</t>
  </si>
  <si>
    <t>Results:</t>
  </si>
  <si>
    <t>Adding grass - Results compared with no grass addition:</t>
  </si>
  <si>
    <t>Amortization Factor ("weighted average cost of capital")</t>
  </si>
  <si>
    <t>(year 1 value)</t>
  </si>
  <si>
    <t>Expected yield of harvested biomass in the year of planting</t>
  </si>
  <si>
    <t>Expected yield of harvested biomass in the year following planting</t>
  </si>
  <si>
    <t>Expected yield of harvested biomass in the remaining years of the stand</t>
  </si>
  <si>
    <t>Size of bale will use in collection</t>
  </si>
  <si>
    <t>Cost/acre</t>
  </si>
  <si>
    <t>Cost extended &amp; escalated</t>
  </si>
  <si>
    <t>Year of life</t>
  </si>
  <si>
    <t>No. of site preparation years:</t>
  </si>
  <si>
    <t>Cost/acre  discounted</t>
  </si>
  <si>
    <t xml:space="preserve">Engine Replacement </t>
  </si>
  <si>
    <t>Switchgrass Quantity</t>
  </si>
  <si>
    <t>Engine Replacement Cost ($ in year 1 dollars)</t>
  </si>
  <si>
    <t>NPV of outflows</t>
  </si>
  <si>
    <t>NPV of inflows</t>
  </si>
  <si>
    <t>Target After-Tax Rate of Return on Equity</t>
  </si>
  <si>
    <t>Revenue Streams:</t>
  </si>
  <si>
    <t>tons</t>
  </si>
  <si>
    <t>Tipping Fee</t>
  </si>
  <si>
    <t>crop nutrient needs</t>
  </si>
  <si>
    <t>P</t>
  </si>
  <si>
    <t>K</t>
  </si>
  <si>
    <t>Total N</t>
  </si>
  <si>
    <t>Manure, lb per 1,000 gal</t>
  </si>
  <si>
    <t>Food waste, lb per 1,000 gal</t>
  </si>
  <si>
    <t>Expected Project Useful Life</t>
  </si>
  <si>
    <t>Scenario description</t>
  </si>
  <si>
    <t>Interest Rate on the debt, %</t>
  </si>
  <si>
    <t>Grant funding, if any</t>
  </si>
  <si>
    <t>Electricity rate received in year 1</t>
  </si>
  <si>
    <t>number</t>
  </si>
  <si>
    <t>Manure volume</t>
  </si>
  <si>
    <t>Biogas Generation per Day</t>
  </si>
  <si>
    <t>Project Size and Expected Useful Life</t>
  </si>
  <si>
    <t>Production tax credit or other performance incentive</t>
  </si>
  <si>
    <t>Switchgrass percent dry matter</t>
  </si>
  <si>
    <t>Years of productivity expected from the switchgrass planting</t>
  </si>
  <si>
    <t>Fertilizer Nutrient Value of Digestate</t>
  </si>
  <si>
    <t>Wet solid digestate % solids</t>
  </si>
  <si>
    <t>Comparison of digester with counterfactual no-digester scenario</t>
  </si>
  <si>
    <t>Acres required for land application</t>
  </si>
  <si>
    <t>Difference</t>
  </si>
  <si>
    <t>Raw manure if no digester</t>
  </si>
  <si>
    <t>Columns B-E represent the scenario with manure alone, no food waste or grass</t>
  </si>
  <si>
    <t xml:space="preserve">Columns F-Q represent manure plus food waste, before and after digestion/separation. </t>
  </si>
  <si>
    <t>Columns R-AA represent the addition of grass</t>
  </si>
  <si>
    <t>manure and food waste, no grass</t>
  </si>
  <si>
    <t>manure, lb/1,000 gal</t>
  </si>
  <si>
    <t>Calculation of the impact of digestion and solids separation on N, P, and K volumes</t>
  </si>
  <si>
    <t>Total volume before digestion, gallons/year</t>
  </si>
  <si>
    <t>Total weight before digestion or separation (solids + liquid), tons/day</t>
  </si>
  <si>
    <t>Total solids, tons/day before digestion</t>
  </si>
  <si>
    <t>($) – All model values are in nominal year 1 dollars</t>
  </si>
  <si>
    <t>Phosphorus (P2O5)</t>
  </si>
  <si>
    <t xml:space="preserve">Extension Team: </t>
  </si>
  <si>
    <t>Renewable and Alternative Energy</t>
  </si>
  <si>
    <t>Tool Version:</t>
  </si>
  <si>
    <t xml:space="preserve">Author: </t>
  </si>
  <si>
    <t>Last Updated:</t>
  </si>
  <si>
    <t xml:space="preserve">Contact Email: </t>
  </si>
  <si>
    <t>Website:</t>
  </si>
  <si>
    <t>Description:</t>
  </si>
  <si>
    <t xml:space="preserve">User Instructions: </t>
  </si>
  <si>
    <t>Acknowledgement of Risk:</t>
  </si>
  <si>
    <t>This tool is provided for general informational purposes only and The Pennsylvania State University shall have no liability whatsoever for the use of or reliance on this tool.</t>
  </si>
  <si>
    <t>wfl9@psu.edu</t>
  </si>
  <si>
    <t>Review the information on the "welcome" tab</t>
  </si>
  <si>
    <t xml:space="preserve">This spreadsheet tool has been designed to assist stakeholders to evaluate the economics of a farm-based anaerobic digester utilizing manure as the main feedstock but with additions of food waste and warm season grasses, and generating electricity from the biogas.  </t>
  </si>
  <si>
    <t>William Lazarus</t>
  </si>
  <si>
    <t>Swtichgrass added?</t>
  </si>
  <si>
    <t>Summary of Key Inputs for the Two Scenarios:</t>
  </si>
  <si>
    <t>Simple</t>
  </si>
  <si>
    <t>Cost of meeting crop needs with commercial fertilizer, $/lb</t>
  </si>
  <si>
    <t>/ton</t>
  </si>
  <si>
    <t>grass</t>
  </si>
  <si>
    <t>Combined feedstock solids content</t>
  </si>
  <si>
    <t>Manure nutrient availability (if no digester), %</t>
  </si>
  <si>
    <t>Stand-life average grass yield</t>
  </si>
  <si>
    <t>Capital Cost - Select Cost Level of Detail</t>
  </si>
  <si>
    <t>Cropland acres available for land application</t>
  </si>
  <si>
    <t>Ammonium N</t>
  </si>
  <si>
    <t>Organic N</t>
  </si>
  <si>
    <t>Ammonium N content</t>
  </si>
  <si>
    <t>Organic N content</t>
  </si>
  <si>
    <t>Grass total N, % of dry matter</t>
  </si>
  <si>
    <t>Grass ammonium N, % of dry matter</t>
  </si>
  <si>
    <t>Biogas Required per Day</t>
  </si>
  <si>
    <t>Food Waste Volume</t>
  </si>
  <si>
    <t>Intermediate</t>
  </si>
  <si>
    <t>Minimum DSCR Year</t>
  </si>
  <si>
    <t>Cell locations varied in the exercises:</t>
  </si>
  <si>
    <t>Select Cost Level of Detail</t>
  </si>
  <si>
    <t>Engine Replacement Cost</t>
  </si>
  <si>
    <t>Sludge cleanout cost</t>
  </si>
  <si>
    <t>ex 1</t>
  </si>
  <si>
    <t>ex 2</t>
  </si>
  <si>
    <t>Food waste total N content</t>
  </si>
  <si>
    <t>Food waste ammonium N content</t>
  </si>
  <si>
    <t>Food waste P content</t>
  </si>
  <si>
    <t>Food waste K content</t>
  </si>
  <si>
    <t>Switchgrass_Key_Inputs</t>
  </si>
  <si>
    <t>ex 3</t>
  </si>
  <si>
    <t>ex 4</t>
  </si>
  <si>
    <t>ex 5</t>
  </si>
  <si>
    <t>ex 6</t>
  </si>
  <si>
    <t>Filtrate ammonium N avail</t>
  </si>
  <si>
    <t>Manure % total solids</t>
  </si>
  <si>
    <t>Food waste % total solids</t>
  </si>
  <si>
    <t>Number of rows used</t>
  </si>
  <si>
    <t>Number of columns filled + cell refs</t>
  </si>
  <si>
    <t>Scenario to load</t>
  </si>
  <si>
    <t>Manure spreading, solid, $/ton</t>
  </si>
  <si>
    <t>lb/ton, solids</t>
  </si>
  <si>
    <t>Manure total N content</t>
  </si>
  <si>
    <t>Manure ammonium N content</t>
  </si>
  <si>
    <t>Manure P content</t>
  </si>
  <si>
    <t>Manure K content</t>
  </si>
  <si>
    <t xml:space="preserve">Sleep </t>
  </si>
  <si>
    <t>tons/acre N based rate</t>
  </si>
  <si>
    <t>Percent remaining in solids after separation</t>
  </si>
  <si>
    <t>Total solids</t>
  </si>
  <si>
    <t>Solids and liquid</t>
  </si>
  <si>
    <t>Total P</t>
  </si>
  <si>
    <t>Total K</t>
  </si>
  <si>
    <t>lb/year</t>
  </si>
  <si>
    <t>% of digestate</t>
  </si>
  <si>
    <t>% of feedstock</t>
  </si>
  <si>
    <t>% of wet wt</t>
  </si>
  <si>
    <t>% of organic N</t>
  </si>
  <si>
    <t>solids</t>
  </si>
  <si>
    <t>Total N content</t>
  </si>
  <si>
    <t>lb/1,000 gal</t>
  </si>
  <si>
    <t>of dry weight</t>
  </si>
  <si>
    <t>tons/day DM</t>
  </si>
  <si>
    <t>tons/year DM</t>
  </si>
  <si>
    <t>Combined feedstock</t>
  </si>
  <si>
    <t>of feedstock</t>
  </si>
  <si>
    <t>lb/dry ton</t>
  </si>
  <si>
    <t>N</t>
  </si>
  <si>
    <t>/lb</t>
  </si>
  <si>
    <t>Manure spreading cost, drag line, 2022 ISU survey, $/1000 gal</t>
  </si>
  <si>
    <t>min of applied or needed</t>
  </si>
  <si>
    <t>P2O5</t>
  </si>
  <si>
    <t>K2O</t>
  </si>
  <si>
    <t>No digester - raw dairy manure</t>
  </si>
  <si>
    <t>nutrients applied</t>
  </si>
  <si>
    <t>Digester - filtrate</t>
  </si>
  <si>
    <t>Application cost, drag line, $/1000 gal</t>
  </si>
  <si>
    <t>Fertilizer value, $/acre</t>
  </si>
  <si>
    <t>Application cost, $/ton</t>
  </si>
  <si>
    <t>Fertilizer value net of application cost</t>
  </si>
  <si>
    <t>Difference, digester vs. no digester</t>
  </si>
  <si>
    <t>Digester - filtrate &amp; wet solids combined</t>
  </si>
  <si>
    <t>Fertilizer value, $/year</t>
  </si>
  <si>
    <t>Total fertilizer value, $/acre &amp; $/year</t>
  </si>
  <si>
    <t>Key:</t>
  </si>
  <si>
    <t>acres/crop</t>
  </si>
  <si>
    <t>Crops fertilized/year</t>
  </si>
  <si>
    <t>Needs of crop acres receiving digestate, lb/acre/crop</t>
  </si>
  <si>
    <t>Is sufficient cropland available based on the N-based rate?</t>
  </si>
  <si>
    <t>Is excess P being applied in relation to crop P needs?</t>
  </si>
  <si>
    <t>Acres available/year (acres/crop x crops/year)</t>
  </si>
  <si>
    <t>Gallons applied/acre/crop</t>
  </si>
  <si>
    <t>crops/year</t>
  </si>
  <si>
    <t>Equipment Replacement Withdrawals</t>
  </si>
  <si>
    <t>Will the system include a solids separator? (yes/no)</t>
  </si>
  <si>
    <r>
      <rPr>
        <b/>
        <sz val="12"/>
        <rFont val="Arial"/>
        <family val="2"/>
      </rPr>
      <t>Organic N</t>
    </r>
    <r>
      <rPr>
        <sz val="12"/>
        <rFont val="Arial"/>
        <family val="2"/>
      </rPr>
      <t xml:space="preserve"> in feedstock converted to </t>
    </r>
    <r>
      <rPr>
        <b/>
        <sz val="12"/>
        <rFont val="Arial"/>
        <family val="2"/>
      </rPr>
      <t>ammonium N</t>
    </r>
  </si>
  <si>
    <t>Filtrate % solids</t>
  </si>
  <si>
    <t>Routine O&amp;M Expense</t>
  </si>
  <si>
    <t>Routine O&amp;M Expense, Yr 1</t>
  </si>
  <si>
    <t>Availability (100% minus downtime)</t>
  </si>
  <si>
    <t>Lender's Guarantee Fee (initial, % of total borrowing)</t>
  </si>
  <si>
    <t>Loan Guarantee Fee (annual, % of outstanding principal)</t>
  </si>
  <si>
    <t>Grant sensitivity analysis</t>
  </si>
  <si>
    <t>Grant, %</t>
  </si>
  <si>
    <t>% Debt (% of hard costs) (mortgage-style amortization)</t>
  </si>
  <si>
    <t>Loan annual guarantee fee on outstanding principal</t>
  </si>
  <si>
    <t>Installed Cost (excluding after-tax grants &amp; cost of financing)</t>
  </si>
  <si>
    <t>Bedding % solids</t>
  </si>
  <si>
    <t>Bedding volume</t>
  </si>
  <si>
    <t>Bedding solids bedding</t>
  </si>
  <si>
    <t>Bedding nutrient availability, %</t>
  </si>
  <si>
    <t>Nutrients applied as bedding, actual lb/acre applied</t>
  </si>
  <si>
    <t>bedding</t>
  </si>
  <si>
    <t>Bedding after separation, tons/day</t>
  </si>
  <si>
    <t>Routine O&amp;M Expense (in year 1 nominal dollars)</t>
  </si>
  <si>
    <t>Sludge cleanout cost  (in year 1 prices) % of hard costs</t>
  </si>
  <si>
    <t>Acres of Switchgrass</t>
  </si>
  <si>
    <t>Bedding, lb/ton</t>
  </si>
  <si>
    <t>Inputs: - enter numbers in the yellow cells</t>
  </si>
  <si>
    <t>Description</t>
  </si>
  <si>
    <t>Amounts</t>
  </si>
  <si>
    <t>Outputs:  - this is the estimated performance of the digester</t>
  </si>
  <si>
    <t>Cash inflows</t>
  </si>
  <si>
    <t>Cash outflows</t>
  </si>
  <si>
    <t>Bedding</t>
  </si>
  <si>
    <t>Key inputs &amp; Outputs</t>
  </si>
  <si>
    <t>Financial Inputs</t>
  </si>
  <si>
    <t>Nutrient Management Inputs</t>
  </si>
  <si>
    <t>Percent of cropland double-cropped &amp; fertilized each year</t>
  </si>
  <si>
    <t>percent</t>
  </si>
  <si>
    <t>Biogas generated/gallon of manure</t>
  </si>
  <si>
    <t>Biogas generated/ton of food waste</t>
  </si>
  <si>
    <t>$/kW/year</t>
  </si>
  <si>
    <r>
      <t xml:space="preserve">Manure solids remaining with </t>
    </r>
    <r>
      <rPr>
        <b/>
        <sz val="12"/>
        <rFont val="Arial"/>
        <family val="2"/>
      </rPr>
      <t>bedding</t>
    </r>
    <r>
      <rPr>
        <sz val="12"/>
        <rFont val="Arial"/>
        <family val="2"/>
      </rPr>
      <t xml:space="preserve"> after separation</t>
    </r>
  </si>
  <si>
    <r>
      <t xml:space="preserve">Food waste solids remaining with </t>
    </r>
    <r>
      <rPr>
        <b/>
        <sz val="12"/>
        <rFont val="Arial"/>
        <family val="2"/>
      </rPr>
      <t>bedding</t>
    </r>
    <r>
      <rPr>
        <sz val="12"/>
        <rFont val="Arial"/>
        <family val="2"/>
      </rPr>
      <t xml:space="preserve"> after separation</t>
    </r>
  </si>
  <si>
    <r>
      <t xml:space="preserve">Grass solids remaining with </t>
    </r>
    <r>
      <rPr>
        <b/>
        <sz val="12"/>
        <rFont val="Arial"/>
        <family val="2"/>
      </rPr>
      <t>bedding</t>
    </r>
    <r>
      <rPr>
        <sz val="12"/>
        <rFont val="Arial"/>
        <family val="2"/>
      </rPr>
      <t xml:space="preserve"> after separation</t>
    </r>
  </si>
  <si>
    <t>Total acres required</t>
  </si>
  <si>
    <t>Acres required to apply bedding</t>
  </si>
  <si>
    <t>tons/yr of bedding DM</t>
  </si>
  <si>
    <t>Comparison of no-digester (manure only) and digester scenarios with land applications based on crop N and P needs and available total N and P in the manure, filtrate, or wet solids digestate</t>
  </si>
  <si>
    <t>gallons/acre</t>
  </si>
  <si>
    <t>N-based rate</t>
  </si>
  <si>
    <t>P-based rate</t>
  </si>
  <si>
    <t>Actual rate</t>
  </si>
  <si>
    <t>P-based rate, gallons/acre/crop</t>
  </si>
  <si>
    <t>N-based rate, gallons/acre/crop, available</t>
  </si>
  <si>
    <t>Rate that covers all available acres</t>
  </si>
  <si>
    <t>% of bedding</t>
  </si>
  <si>
    <t>Remaining in bedding after separation</t>
  </si>
  <si>
    <t>bedding, lb total annual</t>
  </si>
  <si>
    <t>spreading cost/ton</t>
  </si>
  <si>
    <t>tons/acre P based rate</t>
  </si>
  <si>
    <t>not recycled</t>
  </si>
  <si>
    <t>Land application rate, tons/acre</t>
  </si>
  <si>
    <t>Digester - bedding</t>
  </si>
  <si>
    <t>tons/acre actual rate</t>
  </si>
  <si>
    <t>Nutrient application Expense</t>
  </si>
  <si>
    <t>Filtrate/digestate, fertilizer value before applic. cost</t>
  </si>
  <si>
    <t>Nutrient value</t>
  </si>
  <si>
    <t>Nutrient value net of application cost</t>
  </si>
  <si>
    <r>
      <rPr>
        <b/>
        <sz val="12"/>
        <rFont val="Arial"/>
        <family val="2"/>
      </rPr>
      <t>Bedding</t>
    </r>
    <r>
      <rPr>
        <sz val="12"/>
        <rFont val="Arial"/>
        <family val="2"/>
      </rPr>
      <t xml:space="preserve"> recycled back into liquid manure that is digested</t>
    </r>
  </si>
  <si>
    <t>difference from manure &amp; food waste</t>
  </si>
  <si>
    <t>After-Tax Equity IRR (over defined Useful Life)</t>
  </si>
  <si>
    <t xml:space="preserve">   Source:  PSU 2023-24 Agronomy Guide, Part I, Section 2, pp. 52-53</t>
  </si>
  <si>
    <t>Investment required, before financing costs</t>
  </si>
  <si>
    <t>Acres of grass or vegetation to be digested</t>
  </si>
  <si>
    <t>Net Investment Required (Total Investment with Financing, less Grants)</t>
  </si>
  <si>
    <t>Digestate liquid &amp; bedding, fertilizer value net of applic. cost</t>
  </si>
  <si>
    <t>digestate liquid with digester &amp; digestate liquid &amp; grass</t>
  </si>
  <si>
    <t>digestate liquid % of digestate liquid &amp; solid</t>
  </si>
  <si>
    <t>digestate liquid only based on N lb/1,000 gallons</t>
  </si>
  <si>
    <t>digestate liquid, lb total annual</t>
  </si>
  <si>
    <t>digestate liquid nutrients lb/1,000 gal</t>
  </si>
  <si>
    <t>digestate liquid &amp; bedding, lb total annual</t>
  </si>
  <si>
    <t>Acres required to apply digestate liquid, N-based</t>
  </si>
  <si>
    <t>digestate liquid</t>
  </si>
  <si>
    <t>digestate liquid &amp; bedding</t>
  </si>
  <si>
    <t>difference from manure only, digestate liquid &amp; bedding</t>
  </si>
  <si>
    <t>Investment required, with financing costs</t>
  </si>
  <si>
    <t>Investment required with financing costs (before grants, if applicable)</t>
  </si>
  <si>
    <t>Inflation rate for O&amp;M and revenues</t>
  </si>
  <si>
    <t>Investment required with financing costs and grants</t>
  </si>
  <si>
    <r>
      <t xml:space="preserve">Total </t>
    </r>
    <r>
      <rPr>
        <b/>
        <sz val="12"/>
        <rFont val="Arial"/>
        <family val="2"/>
      </rPr>
      <t>solids &amp; liquid</t>
    </r>
    <r>
      <rPr>
        <sz val="12"/>
        <rFont val="Arial"/>
        <family val="2"/>
      </rPr>
      <t xml:space="preserve"> in digestate liquid</t>
    </r>
  </si>
  <si>
    <t>cubic feet/ton</t>
  </si>
  <si>
    <t>cubic feet/gallon</t>
  </si>
  <si>
    <t>Avoided Cost of Waste Heat, $/kW/year</t>
  </si>
  <si>
    <t>Acres available for land application</t>
  </si>
  <si>
    <t>Land application rate required based on N, gal/acre</t>
  </si>
  <si>
    <t>Acres required for land application based on N</t>
  </si>
  <si>
    <t>Are there enough acres available based on N?</t>
  </si>
  <si>
    <t>Are there enough acres available based on N &amp; P?</t>
  </si>
  <si>
    <t>Equipment replacement &amp; sludge cleanout</t>
  </si>
  <si>
    <t>After-tax interest rate on term debt</t>
  </si>
  <si>
    <t>What is the value of the manure solids bedding in terms of replacing the bedding you would use otherwise?</t>
  </si>
  <si>
    <t>Manure solids bedding value</t>
  </si>
  <si>
    <t>$/ton of the bedding you are using now or would otherwise use</t>
  </si>
  <si>
    <t>Calculation of  savings from bedding with the manure solids</t>
  </si>
  <si>
    <t>applied at N-based rate</t>
  </si>
  <si>
    <t>Acres based on the N &amp; P rate</t>
  </si>
  <si>
    <t>N &amp; P rate, gallons/acre/crop</t>
  </si>
  <si>
    <t>min of applied or N based</t>
  </si>
  <si>
    <t>selected fert value</t>
  </si>
  <si>
    <t>min of needed or N based</t>
  </si>
  <si>
    <t>min of needed or N &amp; P based</t>
  </si>
  <si>
    <t>Manure spreading cost, liquid, base rate, $/acre</t>
  </si>
  <si>
    <t>Base rate, $/acre</t>
  </si>
  <si>
    <t>$/1,000 gallons</t>
  </si>
  <si>
    <t>Stand life average</t>
  </si>
  <si>
    <t>Nutrient availability when applied to cropland</t>
  </si>
  <si>
    <t>Digestate availability when applied to grass</t>
  </si>
  <si>
    <t>Major Equipment Replacement(s)</t>
  </si>
  <si>
    <t>O&amp;M/Working Capital Reserve</t>
  </si>
  <si>
    <t>Initial Funding of O&amp;M Reserve Accounts</t>
  </si>
  <si>
    <t>O&amp;M Reserve Account:</t>
  </si>
  <si>
    <t>Repayment of O&amp;M Reserve at End of Life plus interest at WACC</t>
  </si>
  <si>
    <t>Interest on  Reserves</t>
  </si>
  <si>
    <t>difference from manure only, digestate liquid or digestate &amp; bedding</t>
  </si>
  <si>
    <t>Tipping fee (year 1 value)</t>
  </si>
  <si>
    <t>Criterion actually used for the liquid application rate</t>
  </si>
  <si>
    <t>Rate that covers all acres if between the N and N&amp;P rates</t>
  </si>
  <si>
    <t>Rate used in the economic analysis</t>
  </si>
  <si>
    <t>manure, food waste, and grass</t>
  </si>
  <si>
    <t>Total O&amp;M with engine repl &amp; sludge cleanout</t>
  </si>
  <si>
    <r>
      <t>Year 1 cash flows</t>
    </r>
    <r>
      <rPr>
        <u/>
        <vertAlign val="superscript"/>
        <sz val="12"/>
        <color theme="1"/>
        <rFont val="Calibri"/>
        <family val="2"/>
        <scheme val="minor"/>
      </rPr>
      <t>a</t>
    </r>
  </si>
  <si>
    <t>Year 1 net cash flow</t>
  </si>
  <si>
    <t>Net present values</t>
  </si>
  <si>
    <t>Year 1 cash flows</t>
  </si>
  <si>
    <r>
      <t>Year 1 net cash flow</t>
    </r>
    <r>
      <rPr>
        <vertAlign val="superscript"/>
        <sz val="11"/>
        <rFont val="Calibri"/>
        <family val="2"/>
        <scheme val="minor"/>
      </rPr>
      <t>a</t>
    </r>
  </si>
  <si>
    <t>Year 1 cash flow</t>
  </si>
  <si>
    <t>Ecosystem services provided by the switchgrass</t>
  </si>
  <si>
    <t>Allocation of hard costs to MACRS categories</t>
  </si>
  <si>
    <t>Routine O&amp;M Expense (in year 1 dollars) % of genset costs</t>
  </si>
  <si>
    <t>ft3/dry ton</t>
  </si>
  <si>
    <t>Biogas quantity from digested grass</t>
  </si>
  <si>
    <t>Bioelectricity Incentive</t>
  </si>
  <si>
    <t>Carbon Credit</t>
  </si>
  <si>
    <t>Carbon Escalation Rate</t>
  </si>
  <si>
    <t>Bioelectricity Escalation Rate</t>
  </si>
  <si>
    <t>Federal Carbon Escalation Rate</t>
  </si>
  <si>
    <t>Federal Bioelectricity Escalation Rate</t>
  </si>
  <si>
    <t>Revenues and Incentives</t>
  </si>
  <si>
    <t>Total Permanent financing (funds portion of hard costs)</t>
  </si>
  <si>
    <t>Debt Service Coverage Ratio</t>
  </si>
  <si>
    <t>see table below ==&gt;</t>
  </si>
  <si>
    <t>These parameters are based on the inputs above unless changed in the Switchgrass_key_inputs sheet.</t>
  </si>
  <si>
    <t>Projected Internal Rate of Return on Equity (After-Tax)</t>
  </si>
  <si>
    <t>Operations &amp; Maintenance Expense</t>
  </si>
  <si>
    <t>bedding land-applied</t>
  </si>
  <si>
    <t>Acres applied with bedding</t>
  </si>
  <si>
    <t>digestate liquid only (not bedding) based on N lb/1,000 gallons, liquid &amp; solid volume</t>
  </si>
  <si>
    <t>digestate liquid only (not bedding) based on N lb/1,000 gallons</t>
  </si>
  <si>
    <t>digestate liquid only (not bedding) based on N lb/1,000 gallons, solids volume</t>
  </si>
  <si>
    <t>Crop mix on the cropland acres receiving digestate</t>
  </si>
  <si>
    <t>Grass, % of dry matter</t>
  </si>
  <si>
    <t>Land application rate based on P, gal/acre</t>
  </si>
  <si>
    <t>Rate providing the highest return over application cost</t>
  </si>
  <si>
    <t>Land application rate selected</t>
  </si>
  <si>
    <t>Acres required for land application at selected rate</t>
  </si>
  <si>
    <t>fert value @ best of N or P based</t>
  </si>
  <si>
    <t>fert value @ selected rate</t>
  </si>
  <si>
    <t>min of selected rate or crop need</t>
  </si>
  <si>
    <t>Manure spreading cost components</t>
  </si>
  <si>
    <t>applied at P or land-based rate</t>
  </si>
  <si>
    <t>min of needed or P based</t>
  </si>
  <si>
    <t xml:space="preserve">(Use this space for your own notes.)  The default rates below are based on soil tests from the case farm assuming corn grain in the spring and a mix of crops in the fall. </t>
  </si>
  <si>
    <t>min of selected or crop need</t>
  </si>
  <si>
    <t>Total liquid spreading costs at different example rates, gallons/acre</t>
  </si>
  <si>
    <t>Total solid spreading costs at different example rates, tons/acre</t>
  </si>
  <si>
    <t>Engine Replacement Frequency</t>
  </si>
  <si>
    <t>For detailed instructions, contact the author at the above email address to receive a copy of the Renewable Natural Gas from Manure and Grasses Business Opportunity Plan for “Sleeping Squirrel Farm”.</t>
  </si>
  <si>
    <t>Ecosystem services provided by the warm season grass</t>
  </si>
  <si>
    <t>Total feedstock volume of manure, food waste &amp; grasses</t>
  </si>
  <si>
    <t>Investment required for balance of plant</t>
  </si>
  <si>
    <t>$/gallon/year</t>
  </si>
  <si>
    <t>Engine Replacement Cost (in year 1 dollars) % of genset costs</t>
  </si>
  <si>
    <t>Click Here to Return to Financial Inputs Sheet</t>
  </si>
  <si>
    <t>Investment required for the generation equipment</t>
  </si>
  <si>
    <t>default total</t>
  </si>
  <si>
    <t>default</t>
  </si>
  <si>
    <t>Routine O&amp;M Expense (in year 1 dollars) % of balance of plant &amp; intercon</t>
  </si>
  <si>
    <t>Acres required for digestate application</t>
  </si>
  <si>
    <t>Bedding application rate selected, tons/acre</t>
  </si>
  <si>
    <t>Digestate application rate selected, gallons/acre</t>
  </si>
  <si>
    <t>Acres required for land application based on P2O5</t>
  </si>
  <si>
    <t>Penn State Extension Digester Economics Tool, version 1.3</t>
  </si>
  <si>
    <t>Digestate liquid % solids</t>
  </si>
  <si>
    <t>Investment required for the solids separator</t>
  </si>
  <si>
    <t>Investment required for the interconnection</t>
  </si>
  <si>
    <t>tons applied</t>
  </si>
  <si>
    <t>solids, tons/year</t>
  </si>
  <si>
    <t>Generator nameplate capacity</t>
  </si>
  <si>
    <t>value of electricity sold</t>
  </si>
  <si>
    <t>Investment required</t>
  </si>
  <si>
    <t>Cropdown menu choices:</t>
  </si>
  <si>
    <t>Total crop acres with double-cropping as percent of actual physical acres</t>
  </si>
  <si>
    <t>Grant funding, if any (% of hard costs, before-tax)</t>
  </si>
  <si>
    <t>Total Value of Grants (excl. pmt in lieu of ITC, if applicable, after-tax)</t>
  </si>
  <si>
    <r>
      <rPr>
        <vertAlign val="superscript"/>
        <sz val="12"/>
        <color theme="1"/>
        <rFont val="Calibri"/>
        <family val="2"/>
        <scheme val="minor"/>
      </rPr>
      <t>a</t>
    </r>
    <r>
      <rPr>
        <sz val="12"/>
        <color theme="1"/>
        <rFont val="Calibri"/>
        <family val="2"/>
        <scheme val="minor"/>
      </rPr>
      <t>These are the actual year 1 cash flows except that occasional cash flows such as engine replacement are converted 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</si>
</sst>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_(&quot;$&quot;* #,##0_);_(&quot;$&quot;* \(#,##0\);_(&quot;$&quot;* &quot;-&quot;??_);_(@_)"/>
    <numFmt numFmtId="166" formatCode="&quot;Project&quot;\ #"/>
    <numFmt numFmtId="167" formatCode="0\ &quot;kW&quot;"/>
    <numFmt numFmtId="168" formatCode="#\ &quot;Years&quot;"/>
    <numFmt numFmtId="169" formatCode="&quot;$&quot;#,##0"/>
    <numFmt numFmtId="170" formatCode="&quot;$&quot;#.##&quot;/ Watt&quot;"/>
    <numFmt numFmtId="171" formatCode="&quot;$&quot;#,##0.00"/>
    <numFmt numFmtId="172" formatCode="0.0000"/>
    <numFmt numFmtId="173" formatCode="0.000"/>
    <numFmt numFmtId="174" formatCode="_(* #,##0_);_(* \(#,##0\);_(* &quot;-&quot;??_);_(@_)"/>
    <numFmt numFmtId="175" formatCode="0.000000"/>
    <numFmt numFmtId="176" formatCode="&quot;Year&quot;\ #"/>
    <numFmt numFmtId="177" formatCode="0.0"/>
    <numFmt numFmtId="178" formatCode="&quot;Net Present Value @&quot;\ ##.00%\ &quot;(over defined Useful Life)&quot;"/>
    <numFmt numFmtId="179" formatCode="0.00000"/>
    <numFmt numFmtId="180" formatCode="&quot;$&quot;#,##0.000"/>
    <numFmt numFmtId="181" formatCode="#,##0.000"/>
    <numFmt numFmtId="182" formatCode="#,##0.0"/>
    <numFmt numFmtId="183" formatCode="0.000%"/>
    <numFmt numFmtId="184" formatCode="_(* #,##0.0_);_(* \(#,##0.0\);_(* &quot;-&quot;??_);_(@_)"/>
    <numFmt numFmtId="185" formatCode="#,##0.0000"/>
    <numFmt numFmtId="186" formatCode="_(* #,##0.0000_);_(* \(#,##0.0000\);_(* &quot;-&quot;??_);_(@_)"/>
  </numFmts>
  <fonts count="132" x14ac:knownFonts="1">
    <font>
      <sz val="11"/>
      <color theme="1"/>
      <name val="Calibri"/>
      <family val="2"/>
      <scheme val="minor"/>
    </font>
    <font>
      <sz val="12"/>
      <color theme="1"/>
      <name val="Calibri"/>
      <family val="2"/>
      <scheme val="minor"/>
    </font>
    <font>
      <sz val="11"/>
      <color theme="1"/>
      <name val="Calibri"/>
      <family val="2"/>
      <scheme val="minor"/>
    </font>
    <font>
      <b/>
      <sz val="12"/>
      <name val="Arial"/>
      <family val="2"/>
    </font>
    <font>
      <i/>
      <sz val="12"/>
      <name val="Arial"/>
      <family val="2"/>
    </font>
    <font>
      <b/>
      <sz val="12"/>
      <color indexed="62"/>
      <name val="Arial"/>
      <family val="2"/>
    </font>
    <font>
      <sz val="12"/>
      <name val="Arial"/>
      <family val="2"/>
    </font>
    <font>
      <sz val="12"/>
      <color rgb="FFFF0000"/>
      <name val="Arial"/>
      <family val="2"/>
    </font>
    <font>
      <b/>
      <sz val="14"/>
      <name val="Arial"/>
      <family val="2"/>
    </font>
    <font>
      <b/>
      <sz val="12"/>
      <color theme="3"/>
      <name val="Arial"/>
      <family val="2"/>
    </font>
    <font>
      <b/>
      <sz val="12"/>
      <color indexed="56"/>
      <name val="Arial"/>
      <family val="2"/>
    </font>
    <font>
      <b/>
      <sz val="8"/>
      <color indexed="81"/>
      <name val="Tahoma"/>
      <family val="2"/>
    </font>
    <font>
      <sz val="8"/>
      <color indexed="81"/>
      <name val="Tahoma"/>
      <family val="2"/>
    </font>
    <font>
      <b/>
      <sz val="12"/>
      <color rgb="FFFF0000"/>
      <name val="Arial"/>
      <family val="2"/>
    </font>
    <font>
      <b/>
      <sz val="12"/>
      <color theme="0" tint="-0.14999847407452621"/>
      <name val="Arial"/>
      <family val="2"/>
    </font>
    <font>
      <u/>
      <sz val="8.8000000000000007"/>
      <color theme="10"/>
      <name val="Calibri"/>
      <family val="2"/>
    </font>
    <font>
      <b/>
      <sz val="14"/>
      <color indexed="81"/>
      <name val="Tahoma"/>
      <family val="2"/>
    </font>
    <font>
      <sz val="14"/>
      <color indexed="81"/>
      <name val="Tahoma"/>
      <family val="2"/>
    </font>
    <font>
      <sz val="10"/>
      <name val="Arial"/>
      <family val="2"/>
    </font>
    <font>
      <b/>
      <i/>
      <sz val="12"/>
      <name val="Arial"/>
      <family val="2"/>
    </font>
    <font>
      <u/>
      <sz val="12"/>
      <name val="Arial"/>
      <family val="2"/>
    </font>
    <font>
      <b/>
      <sz val="12"/>
      <color indexed="81"/>
      <name val="Tahoma"/>
      <family val="2"/>
    </font>
    <font>
      <b/>
      <sz val="12"/>
      <color theme="4"/>
      <name val="Arial"/>
      <family val="2"/>
    </font>
    <font>
      <b/>
      <sz val="11"/>
      <color rgb="FFFF0000"/>
      <name val="Calibri"/>
      <family val="2"/>
      <scheme val="minor"/>
    </font>
    <font>
      <u/>
      <sz val="14"/>
      <color indexed="81"/>
      <name val="Tahoma"/>
      <family val="2"/>
    </font>
    <font>
      <b/>
      <u/>
      <sz val="12"/>
      <color theme="0" tint="-0.249977111117893"/>
      <name val="Arial"/>
      <family val="2"/>
    </font>
    <font>
      <sz val="12"/>
      <color theme="1"/>
      <name val="Arial"/>
      <family val="2"/>
    </font>
    <font>
      <b/>
      <sz val="12"/>
      <color indexed="12"/>
      <name val="Arial"/>
      <family val="2"/>
    </font>
    <font>
      <sz val="12"/>
      <color indexed="8"/>
      <name val="Arial"/>
      <family val="2"/>
    </font>
    <font>
      <i/>
      <sz val="12"/>
      <color rgb="FFFF0000"/>
      <name val="Arial"/>
      <family val="2"/>
    </font>
    <font>
      <u/>
      <sz val="18"/>
      <color theme="10"/>
      <name val="Calibri"/>
      <family val="2"/>
    </font>
    <font>
      <b/>
      <sz val="12"/>
      <color indexed="56"/>
      <name val="Times New Roman"/>
      <family val="1"/>
    </font>
    <font>
      <i/>
      <u/>
      <sz val="12"/>
      <name val="Arial"/>
      <family val="2"/>
    </font>
    <font>
      <b/>
      <u/>
      <sz val="12"/>
      <name val="Arial"/>
      <family val="2"/>
    </font>
    <font>
      <b/>
      <sz val="14"/>
      <name val="Tahoma"/>
      <family val="2"/>
    </font>
    <font>
      <b/>
      <i/>
      <sz val="14"/>
      <color rgb="FFC00000"/>
      <name val="Tahoma"/>
      <family val="2"/>
    </font>
    <font>
      <i/>
      <sz val="11"/>
      <color rgb="FFC00000"/>
      <name val="Calibri"/>
      <family val="2"/>
      <scheme val="minor"/>
    </font>
    <font>
      <b/>
      <i/>
      <sz val="11"/>
      <color rgb="FFC00000"/>
      <name val="Calibri"/>
      <family val="2"/>
      <scheme val="minor"/>
    </font>
    <font>
      <b/>
      <i/>
      <sz val="12"/>
      <color theme="4"/>
      <name val="Arial"/>
      <family val="2"/>
    </font>
    <font>
      <sz val="12"/>
      <color rgb="FFC00000"/>
      <name val="Arial"/>
      <family val="2"/>
    </font>
    <font>
      <b/>
      <sz val="12"/>
      <color theme="1"/>
      <name val="Arial"/>
      <family val="2"/>
    </font>
    <font>
      <sz val="11"/>
      <color theme="1"/>
      <name val="Arial"/>
      <family val="2"/>
    </font>
    <font>
      <b/>
      <sz val="14"/>
      <color theme="1"/>
      <name val="Arial"/>
      <family val="2"/>
    </font>
    <font>
      <b/>
      <sz val="11"/>
      <color theme="1"/>
      <name val="Arial"/>
      <family val="2"/>
    </font>
    <font>
      <b/>
      <sz val="11"/>
      <name val="Arial"/>
      <family val="2"/>
    </font>
    <font>
      <sz val="11"/>
      <name val="Arial"/>
      <family val="2"/>
    </font>
    <font>
      <b/>
      <i/>
      <sz val="11"/>
      <name val="Arial"/>
      <family val="2"/>
    </font>
    <font>
      <i/>
      <sz val="11"/>
      <color theme="1"/>
      <name val="Arial"/>
      <family val="2"/>
    </font>
    <font>
      <b/>
      <i/>
      <sz val="11"/>
      <color rgb="FFC00000"/>
      <name val="Arial"/>
      <family val="2"/>
    </font>
    <font>
      <b/>
      <sz val="11"/>
      <color theme="4"/>
      <name val="Arial"/>
      <family val="2"/>
    </font>
    <font>
      <i/>
      <sz val="12"/>
      <color theme="0" tint="-0.499984740745262"/>
      <name val="Arial"/>
      <family val="2"/>
    </font>
    <font>
      <b/>
      <sz val="12"/>
      <color theme="0"/>
      <name val="Arial"/>
      <family val="2"/>
    </font>
    <font>
      <b/>
      <i/>
      <u/>
      <sz val="12"/>
      <name val="Arial"/>
      <family val="2"/>
    </font>
    <font>
      <b/>
      <sz val="12"/>
      <name val="Tahoma"/>
      <family val="2"/>
    </font>
    <font>
      <sz val="14"/>
      <name val="Arial"/>
      <family val="2"/>
    </font>
    <font>
      <b/>
      <i/>
      <sz val="12"/>
      <color theme="0" tint="-0.249977111117893"/>
      <name val="Arial"/>
      <family val="2"/>
    </font>
    <font>
      <i/>
      <sz val="10"/>
      <color theme="0" tint="-0.499984740745262"/>
      <name val="Arial"/>
      <family val="2"/>
    </font>
    <font>
      <i/>
      <sz val="11"/>
      <color theme="0" tint="-0.34998626667073579"/>
      <name val="Arial"/>
      <family val="2"/>
    </font>
    <font>
      <b/>
      <sz val="8"/>
      <name val="Arial"/>
      <family val="2"/>
    </font>
    <font>
      <sz val="12"/>
      <color theme="0" tint="-0.14999847407452621"/>
      <name val="Arial"/>
      <family val="2"/>
    </font>
    <font>
      <i/>
      <sz val="12"/>
      <color theme="0" tint="-0.14999847407452621"/>
      <name val="Arial"/>
      <family val="2"/>
    </font>
    <font>
      <sz val="12"/>
      <color theme="0"/>
      <name val="Arial"/>
      <family val="2"/>
    </font>
    <font>
      <i/>
      <sz val="12"/>
      <color theme="1"/>
      <name val="Arial"/>
      <family val="2"/>
    </font>
    <font>
      <b/>
      <i/>
      <sz val="11"/>
      <color theme="1"/>
      <name val="Arial"/>
      <family val="2"/>
    </font>
    <font>
      <b/>
      <u/>
      <sz val="12"/>
      <color theme="0" tint="-0.14999847407452621"/>
      <name val="Arial"/>
      <family val="2"/>
    </font>
    <font>
      <b/>
      <u/>
      <sz val="12"/>
      <color theme="10"/>
      <name val="Arial"/>
      <family val="2"/>
    </font>
    <font>
      <sz val="12"/>
      <color indexed="81"/>
      <name val="Tahoma"/>
      <family val="2"/>
    </font>
    <font>
      <b/>
      <i/>
      <sz val="11"/>
      <color rgb="FF00B050"/>
      <name val="Arial"/>
      <family val="2"/>
    </font>
    <font>
      <b/>
      <i/>
      <sz val="14"/>
      <color indexed="81"/>
      <name val="Tahoma"/>
      <family val="2"/>
    </font>
    <font>
      <u/>
      <sz val="12"/>
      <color theme="1"/>
      <name val="Calibri"/>
      <family val="2"/>
      <scheme val="minor"/>
    </font>
    <font>
      <b/>
      <sz val="12"/>
      <color theme="0" tint="-0.249977111117893"/>
      <name val="Arial"/>
      <family val="2"/>
    </font>
    <font>
      <sz val="12"/>
      <color theme="0" tint="-0.249977111117893"/>
      <name val="Arial"/>
      <family val="2"/>
    </font>
    <font>
      <b/>
      <sz val="11"/>
      <color rgb="FFFFFF00"/>
      <name val="Arial"/>
      <family val="2"/>
    </font>
    <font>
      <b/>
      <sz val="11"/>
      <color rgb="FFFF0000"/>
      <name val="Arial"/>
      <family val="2"/>
    </font>
    <font>
      <sz val="11"/>
      <color theme="1"/>
      <name val="Calibri"/>
      <family val="2"/>
    </font>
    <font>
      <b/>
      <sz val="16"/>
      <color indexed="81"/>
      <name val="Tahoma"/>
      <family val="2"/>
    </font>
    <font>
      <sz val="9"/>
      <color indexed="81"/>
      <name val="Tahoma"/>
      <family val="2"/>
    </font>
    <font>
      <b/>
      <sz val="9"/>
      <color indexed="81"/>
      <name val="Tahoma"/>
      <family val="2"/>
    </font>
    <font>
      <b/>
      <sz val="11"/>
      <color theme="1"/>
      <name val="Calibri"/>
      <family val="2"/>
      <scheme val="minor"/>
    </font>
    <font>
      <sz val="11"/>
      <name val="Calibri"/>
      <family val="2"/>
      <scheme val="minor"/>
    </font>
    <font>
      <b/>
      <sz val="11"/>
      <name val="Calibri"/>
      <family val="2"/>
      <scheme val="minor"/>
    </font>
    <font>
      <u/>
      <sz val="11"/>
      <color theme="1"/>
      <name val="Calibri"/>
      <family val="2"/>
      <scheme val="minor"/>
    </font>
    <font>
      <u/>
      <sz val="11"/>
      <name val="Calibri"/>
      <family val="2"/>
      <scheme val="minor"/>
    </font>
    <font>
      <sz val="11"/>
      <color theme="0" tint="-0.249977111117893"/>
      <name val="Calibri"/>
      <family val="2"/>
      <scheme val="minor"/>
    </font>
    <font>
      <sz val="12"/>
      <name val="Calibri"/>
      <family val="2"/>
      <scheme val="minor"/>
    </font>
    <font>
      <sz val="12"/>
      <color theme="0" tint="-0.249977111117893"/>
      <name val="Calibri"/>
      <family val="2"/>
      <scheme val="minor"/>
    </font>
    <font>
      <b/>
      <sz val="16"/>
      <name val="Arial"/>
      <family val="2"/>
    </font>
    <font>
      <u/>
      <sz val="14"/>
      <color theme="10"/>
      <name val="Calibri"/>
      <family val="2"/>
    </font>
    <font>
      <sz val="11"/>
      <color rgb="FF000000"/>
      <name val="Calibri"/>
      <family val="2"/>
      <scheme val="minor"/>
    </font>
    <font>
      <i/>
      <sz val="11"/>
      <name val="Calibri"/>
      <family val="2"/>
      <scheme val="minor"/>
    </font>
    <font>
      <b/>
      <sz val="18"/>
      <name val="Times New Roman"/>
      <family val="1"/>
    </font>
    <font>
      <b/>
      <sz val="12"/>
      <color indexed="9"/>
      <name val="Times New Roman"/>
      <family val="1"/>
    </font>
    <font>
      <sz val="12"/>
      <color theme="1"/>
      <name val="Times New Roman"/>
      <family val="1"/>
    </font>
    <font>
      <b/>
      <sz val="12"/>
      <name val="Times New Roman"/>
      <family val="1"/>
    </font>
    <font>
      <sz val="12"/>
      <name val="Times New Roman"/>
      <family val="1"/>
    </font>
    <font>
      <b/>
      <sz val="12"/>
      <color theme="1"/>
      <name val="Times New Roman"/>
      <family val="1"/>
    </font>
    <font>
      <i/>
      <sz val="12"/>
      <name val="Times New Roman"/>
      <family val="1"/>
    </font>
    <font>
      <sz val="11"/>
      <color rgb="FFC00000"/>
      <name val="Calibri"/>
      <family val="2"/>
      <scheme val="minor"/>
    </font>
    <font>
      <sz val="12"/>
      <color theme="0" tint="-0.14999847407452621"/>
      <name val="Calibri"/>
      <family val="2"/>
      <scheme val="minor"/>
    </font>
    <font>
      <sz val="12"/>
      <color rgb="FF000000"/>
      <name val="Calibri"/>
      <family val="2"/>
    </font>
    <font>
      <sz val="11"/>
      <color theme="0"/>
      <name val="Calibri"/>
      <family val="2"/>
      <scheme val="minor"/>
    </font>
    <font>
      <u/>
      <sz val="12"/>
      <color theme="1"/>
      <name val="Arial"/>
      <family val="2"/>
    </font>
    <font>
      <u/>
      <sz val="11"/>
      <name val="Arial"/>
      <family val="2"/>
    </font>
    <font>
      <u/>
      <sz val="11"/>
      <color theme="1"/>
      <name val="Arial"/>
      <family val="2"/>
    </font>
    <font>
      <b/>
      <sz val="11"/>
      <color indexed="62"/>
      <name val="Arial"/>
      <family val="2"/>
    </font>
    <font>
      <b/>
      <sz val="11"/>
      <color theme="0" tint="-0.14999847407452621"/>
      <name val="Arial"/>
      <family val="2"/>
    </font>
    <font>
      <i/>
      <sz val="11"/>
      <color theme="0" tint="-0.14999847407452621"/>
      <name val="Arial"/>
      <family val="2"/>
    </font>
    <font>
      <b/>
      <sz val="12"/>
      <color theme="4" tint="-0.249977111117893"/>
      <name val="Arial"/>
      <family val="2"/>
    </font>
    <font>
      <sz val="14"/>
      <color theme="1"/>
      <name val="Calibri"/>
      <family val="2"/>
      <scheme val="minor"/>
    </font>
    <font>
      <u/>
      <sz val="14"/>
      <color theme="1"/>
      <name val="Calibri"/>
      <family val="2"/>
      <scheme val="minor"/>
    </font>
    <font>
      <sz val="26"/>
      <color theme="0"/>
      <name val="Arial"/>
      <family val="2"/>
    </font>
    <font>
      <i/>
      <sz val="10"/>
      <color theme="1"/>
      <name val="Arial"/>
      <family val="2"/>
    </font>
    <font>
      <u/>
      <sz val="11"/>
      <color theme="10"/>
      <name val="Arial"/>
      <family val="2"/>
    </font>
    <font>
      <b/>
      <sz val="14"/>
      <color theme="1"/>
      <name val="Calibri"/>
      <family val="2"/>
      <scheme val="minor"/>
    </font>
    <font>
      <u/>
      <sz val="11"/>
      <color rgb="FF000000"/>
      <name val="Calibri"/>
      <family val="2"/>
      <scheme val="minor"/>
    </font>
    <font>
      <b/>
      <sz val="11"/>
      <color theme="8" tint="-0.249977111117893"/>
      <name val="Arial"/>
      <family val="2"/>
    </font>
    <font>
      <b/>
      <u/>
      <sz val="12"/>
      <color theme="1"/>
      <name val="Calibri"/>
      <family val="2"/>
      <scheme val="minor"/>
    </font>
    <font>
      <sz val="11"/>
      <color theme="1" tint="0.34998626667073579"/>
      <name val="Calibri"/>
      <family val="2"/>
      <scheme val="minor"/>
    </font>
    <font>
      <b/>
      <sz val="12"/>
      <color theme="8" tint="-0.249977111117893"/>
      <name val="Arial"/>
      <family val="2"/>
    </font>
    <font>
      <sz val="12"/>
      <color rgb="FF595959"/>
      <name val="Calibri"/>
      <family val="2"/>
      <scheme val="minor"/>
    </font>
    <font>
      <u/>
      <vertAlign val="superscript"/>
      <sz val="12"/>
      <color theme="1"/>
      <name val="Calibri"/>
      <family val="2"/>
      <scheme val="minor"/>
    </font>
    <font>
      <vertAlign val="superscript"/>
      <sz val="12"/>
      <color theme="1"/>
      <name val="Calibri"/>
      <family val="2"/>
      <scheme val="minor"/>
    </font>
    <font>
      <sz val="11"/>
      <color theme="0" tint="-0.14999847407452621"/>
      <name val="Calibri"/>
      <family val="2"/>
      <scheme val="minor"/>
    </font>
    <font>
      <vertAlign val="superscript"/>
      <sz val="11"/>
      <name val="Calibri"/>
      <family val="2"/>
      <scheme val="minor"/>
    </font>
    <font>
      <sz val="11"/>
      <name val="Calibri"/>
      <family val="2"/>
    </font>
    <font>
      <u/>
      <sz val="12"/>
      <color theme="1"/>
      <name val="Calibri"/>
      <family val="2"/>
    </font>
    <font>
      <sz val="12"/>
      <color theme="1"/>
      <name val="Calibri"/>
      <family val="2"/>
    </font>
    <font>
      <u/>
      <sz val="12"/>
      <name val="Calibri"/>
      <family val="2"/>
    </font>
    <font>
      <b/>
      <sz val="10"/>
      <color theme="4"/>
      <name val="Arial"/>
      <family val="2"/>
    </font>
    <font>
      <sz val="11"/>
      <color theme="0" tint="-0.249977111117893"/>
      <name val="Arial"/>
      <family val="2"/>
    </font>
    <font>
      <b/>
      <sz val="11"/>
      <color theme="0" tint="-0.249977111117893"/>
      <name val="Arial"/>
      <family val="2"/>
    </font>
    <font>
      <u/>
      <sz val="16"/>
      <color theme="10"/>
      <name val="Calibri"/>
      <family val="2"/>
    </font>
  </fonts>
  <fills count="24">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99"/>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indexed="22"/>
        <bgColor indexed="64"/>
      </patternFill>
    </fill>
    <fill>
      <patternFill patternType="solid">
        <fgColor theme="3" tint="0.59999389629810485"/>
        <bgColor indexed="64"/>
      </patternFill>
    </fill>
    <fill>
      <patternFill patternType="solid">
        <fgColor rgb="FF00B050"/>
        <bgColor indexed="64"/>
      </patternFill>
    </fill>
    <fill>
      <patternFill patternType="solid">
        <fgColor rgb="FFFFFF00"/>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00"/>
        <bgColor rgb="FF000000"/>
      </patternFill>
    </fill>
    <fill>
      <patternFill patternType="solid">
        <fgColor theme="6"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1F4E78"/>
        <bgColor indexed="64"/>
      </patternFill>
    </fill>
    <fill>
      <patternFill patternType="solid">
        <fgColor theme="4" tint="0.79998168889431442"/>
        <bgColor indexed="64"/>
      </patternFill>
    </fill>
    <fill>
      <patternFill patternType="solid">
        <fgColor theme="6" tint="-0.249977111117893"/>
        <bgColor indexed="64"/>
      </patternFill>
    </fill>
    <fill>
      <patternFill patternType="solid">
        <fgColor theme="8" tint="0.39997558519241921"/>
        <bgColor indexed="64"/>
      </patternFill>
    </fill>
  </fills>
  <borders count="6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thin">
        <color indexed="64"/>
      </bottom>
      <diagonal/>
    </border>
    <border>
      <left/>
      <right/>
      <top style="medium">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indexed="64"/>
      </bottom>
      <diagonal/>
    </border>
    <border>
      <left/>
      <right/>
      <top style="thin">
        <color theme="1" tint="0.499984740745262"/>
      </top>
      <bottom/>
      <diagonal/>
    </border>
    <border>
      <left/>
      <right/>
      <top/>
      <bottom style="double">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7">
    <xf numFmtId="0" fontId="0" fillId="0" borderId="0"/>
    <xf numFmtId="44" fontId="2" fillId="0" borderId="0" applyFont="0" applyFill="0" applyBorder="0" applyAlignment="0" applyProtection="0"/>
    <xf numFmtId="9" fontId="2" fillId="0" borderId="0" applyFont="0" applyFill="0" applyBorder="0" applyAlignment="0" applyProtection="0"/>
    <xf numFmtId="0" fontId="15" fillId="0" borderId="0" applyNumberFormat="0" applyFill="0" applyBorder="0" applyAlignment="0" applyProtection="0">
      <alignment vertical="top"/>
      <protection locked="0"/>
    </xf>
    <xf numFmtId="9" fontId="18" fillId="0" borderId="0" applyFont="0" applyFill="0" applyBorder="0" applyAlignment="0" applyProtection="0"/>
    <xf numFmtId="43" fontId="2" fillId="0" borderId="0" applyFont="0" applyFill="0" applyBorder="0" applyAlignment="0" applyProtection="0"/>
    <xf numFmtId="0" fontId="18" fillId="0" borderId="0"/>
  </cellStyleXfs>
  <cellXfs count="1181">
    <xf numFmtId="0" fontId="0" fillId="0" borderId="0" xfId="0"/>
    <xf numFmtId="0" fontId="6" fillId="0" borderId="0" xfId="0" applyFont="1"/>
    <xf numFmtId="0" fontId="3" fillId="5" borderId="1" xfId="0" applyFont="1" applyFill="1" applyBorder="1" applyAlignment="1">
      <alignment horizontal="left"/>
    </xf>
    <xf numFmtId="0" fontId="3" fillId="5" borderId="1" xfId="0" applyFont="1" applyFill="1" applyBorder="1"/>
    <xf numFmtId="0" fontId="4" fillId="2" borderId="5" xfId="0" applyFont="1" applyFill="1" applyBorder="1" applyAlignment="1">
      <alignment horizontal="center"/>
    </xf>
    <xf numFmtId="0" fontId="4" fillId="2" borderId="4" xfId="0" applyFont="1" applyFill="1" applyBorder="1" applyAlignment="1">
      <alignment horizontal="center"/>
    </xf>
    <xf numFmtId="0" fontId="6" fillId="2" borderId="4" xfId="0" applyFont="1" applyFill="1" applyBorder="1"/>
    <xf numFmtId="0" fontId="4" fillId="0" borderId="4" xfId="0" applyFont="1" applyBorder="1" applyAlignment="1">
      <alignment horizontal="center"/>
    </xf>
    <xf numFmtId="0" fontId="6" fillId="0" borderId="8" xfId="0" applyFont="1" applyBorder="1"/>
    <xf numFmtId="0" fontId="13" fillId="0" borderId="4" xfId="0" applyFont="1" applyBorder="1" applyAlignment="1">
      <alignment horizontal="center"/>
    </xf>
    <xf numFmtId="0" fontId="13" fillId="0" borderId="0" xfId="0" applyFont="1" applyAlignment="1">
      <alignment horizontal="center"/>
    </xf>
    <xf numFmtId="0" fontId="8" fillId="0" borderId="0" xfId="0" applyFont="1" applyAlignment="1">
      <alignment horizontal="center"/>
    </xf>
    <xf numFmtId="0" fontId="3" fillId="0" borderId="0" xfId="0" applyFont="1" applyAlignment="1">
      <alignment horizontal="center"/>
    </xf>
    <xf numFmtId="0" fontId="6" fillId="0" borderId="0" xfId="0" applyFont="1" applyAlignment="1">
      <alignment horizontal="center"/>
    </xf>
    <xf numFmtId="0" fontId="6" fillId="5" borderId="2" xfId="0" applyFont="1" applyFill="1" applyBorder="1"/>
    <xf numFmtId="0" fontId="4" fillId="0" borderId="5" xfId="0" applyFont="1" applyBorder="1" applyAlignment="1">
      <alignment horizontal="center"/>
    </xf>
    <xf numFmtId="173" fontId="6" fillId="0" borderId="0" xfId="0" applyNumberFormat="1" applyFont="1"/>
    <xf numFmtId="0" fontId="3" fillId="0" borderId="0" xfId="0" applyFont="1"/>
    <xf numFmtId="3" fontId="6" fillId="0" borderId="0" xfId="0" applyNumberFormat="1" applyFont="1"/>
    <xf numFmtId="169" fontId="6" fillId="0" borderId="0" xfId="0" applyNumberFormat="1" applyFont="1"/>
    <xf numFmtId="0" fontId="6" fillId="0" borderId="9" xfId="0" applyFont="1" applyBorder="1"/>
    <xf numFmtId="6" fontId="6" fillId="0" borderId="0" xfId="0" applyNumberFormat="1" applyFont="1"/>
    <xf numFmtId="6" fontId="6" fillId="0" borderId="9" xfId="0" applyNumberFormat="1" applyFont="1" applyBorder="1"/>
    <xf numFmtId="6" fontId="3" fillId="0" borderId="0" xfId="0" applyNumberFormat="1" applyFont="1"/>
    <xf numFmtId="0" fontId="4" fillId="0" borderId="0" xfId="0" applyFont="1"/>
    <xf numFmtId="40" fontId="4" fillId="0" borderId="0" xfId="0" applyNumberFormat="1" applyFont="1" applyAlignment="1">
      <alignment horizontal="center"/>
    </xf>
    <xf numFmtId="0" fontId="3" fillId="0" borderId="0" xfId="0" applyFont="1" applyAlignment="1">
      <alignment wrapText="1"/>
    </xf>
    <xf numFmtId="0" fontId="19" fillId="0" borderId="0" xfId="0" applyFont="1" applyAlignment="1">
      <alignment wrapText="1"/>
    </xf>
    <xf numFmtId="164" fontId="4" fillId="0" borderId="0" xfId="2" applyNumberFormat="1" applyFont="1" applyAlignment="1"/>
    <xf numFmtId="6" fontId="27" fillId="0" borderId="0" xfId="0" applyNumberFormat="1" applyFont="1" applyAlignment="1">
      <alignment horizontal="center"/>
    </xf>
    <xf numFmtId="0" fontId="6" fillId="0" borderId="22" xfId="0" applyFont="1" applyBorder="1"/>
    <xf numFmtId="0" fontId="3" fillId="9" borderId="0" xfId="0" applyFont="1" applyFill="1"/>
    <xf numFmtId="0" fontId="6" fillId="9" borderId="0" xfId="0" applyFont="1" applyFill="1"/>
    <xf numFmtId="6" fontId="6" fillId="9" borderId="0" xfId="0" applyNumberFormat="1" applyFont="1" applyFill="1"/>
    <xf numFmtId="0" fontId="19" fillId="9" borderId="0" xfId="0" applyFont="1" applyFill="1" applyAlignment="1">
      <alignment horizontal="center"/>
    </xf>
    <xf numFmtId="0" fontId="23" fillId="0" borderId="0" xfId="0" applyFont="1" applyAlignment="1">
      <alignment horizontal="center"/>
    </xf>
    <xf numFmtId="3" fontId="3" fillId="9" borderId="1" xfId="0" applyNumberFormat="1" applyFont="1" applyFill="1" applyBorder="1" applyAlignment="1">
      <alignment horizontal="left" vertical="center"/>
    </xf>
    <xf numFmtId="3" fontId="4" fillId="9" borderId="2" xfId="0" applyNumberFormat="1" applyFont="1" applyFill="1" applyBorder="1" applyAlignment="1">
      <alignment horizontal="center" vertical="center"/>
    </xf>
    <xf numFmtId="0" fontId="0" fillId="4" borderId="2" xfId="0" applyFill="1" applyBorder="1"/>
    <xf numFmtId="0" fontId="0" fillId="4" borderId="3" xfId="0" applyFill="1" applyBorder="1"/>
    <xf numFmtId="0" fontId="6" fillId="2" borderId="4" xfId="0" applyFont="1" applyFill="1" applyBorder="1" applyAlignment="1">
      <alignment vertical="center"/>
    </xf>
    <xf numFmtId="0" fontId="6" fillId="0" borderId="4" xfId="0" applyFont="1" applyBorder="1" applyAlignment="1">
      <alignment vertical="center"/>
    </xf>
    <xf numFmtId="9" fontId="3" fillId="2" borderId="5" xfId="2" applyFont="1" applyFill="1" applyBorder="1" applyAlignment="1">
      <alignment horizontal="center"/>
    </xf>
    <xf numFmtId="0" fontId="30" fillId="0" borderId="0" xfId="3" applyNumberFormat="1" applyFont="1" applyBorder="1" applyAlignment="1" applyProtection="1">
      <alignment vertical="center"/>
    </xf>
    <xf numFmtId="9" fontId="31" fillId="2" borderId="5" xfId="2" applyFont="1" applyFill="1" applyBorder="1" applyAlignment="1">
      <alignment horizontal="center"/>
    </xf>
    <xf numFmtId="0" fontId="4" fillId="0" borderId="0" xfId="0" applyFont="1" applyAlignment="1">
      <alignment horizontal="center"/>
    </xf>
    <xf numFmtId="9" fontId="6" fillId="2" borderId="5" xfId="2" applyFont="1" applyFill="1" applyBorder="1" applyAlignment="1">
      <alignment horizontal="center" vertical="center"/>
    </xf>
    <xf numFmtId="0" fontId="19" fillId="0" borderId="0" xfId="0" applyFont="1" applyAlignment="1">
      <alignment horizontal="center"/>
    </xf>
    <xf numFmtId="172" fontId="6" fillId="0" borderId="0" xfId="0" applyNumberFormat="1" applyFont="1" applyAlignment="1">
      <alignment horizontal="center"/>
    </xf>
    <xf numFmtId="10" fontId="6" fillId="0" borderId="0" xfId="2" applyNumberFormat="1" applyFont="1" applyAlignment="1"/>
    <xf numFmtId="9" fontId="6" fillId="0" borderId="0" xfId="0" applyNumberFormat="1" applyFont="1"/>
    <xf numFmtId="41" fontId="6" fillId="0" borderId="0" xfId="0" applyNumberFormat="1" applyFont="1"/>
    <xf numFmtId="2" fontId="27" fillId="0" borderId="0" xfId="0" applyNumberFormat="1" applyFont="1" applyAlignment="1">
      <alignment horizontal="center"/>
    </xf>
    <xf numFmtId="0" fontId="6" fillId="9" borderId="22" xfId="0" applyFont="1" applyFill="1" applyBorder="1"/>
    <xf numFmtId="8" fontId="4" fillId="0" borderId="0" xfId="0" applyNumberFormat="1" applyFont="1" applyAlignment="1">
      <alignment horizontal="center"/>
    </xf>
    <xf numFmtId="0" fontId="34" fillId="4" borderId="1" xfId="0" applyFont="1" applyFill="1" applyBorder="1" applyAlignment="1">
      <alignment horizontal="left" vertical="center"/>
    </xf>
    <xf numFmtId="0" fontId="23" fillId="4" borderId="2" xfId="0" applyFont="1" applyFill="1" applyBorder="1" applyAlignment="1">
      <alignment horizontal="center"/>
    </xf>
    <xf numFmtId="0" fontId="35" fillId="6" borderId="1" xfId="0" applyFont="1" applyFill="1" applyBorder="1"/>
    <xf numFmtId="0" fontId="36" fillId="6" borderId="2" xfId="0" applyFont="1" applyFill="1" applyBorder="1"/>
    <xf numFmtId="0" fontId="37" fillId="6" borderId="2" xfId="0" applyFont="1" applyFill="1" applyBorder="1" applyAlignment="1">
      <alignment horizontal="center"/>
    </xf>
    <xf numFmtId="9" fontId="22" fillId="0" borderId="4" xfId="0" applyNumberFormat="1" applyFont="1" applyBorder="1" applyAlignment="1">
      <alignment horizontal="center"/>
    </xf>
    <xf numFmtId="0" fontId="4" fillId="4" borderId="3" xfId="0" applyFont="1" applyFill="1" applyBorder="1" applyAlignment="1">
      <alignment horizontal="center" vertical="center"/>
    </xf>
    <xf numFmtId="9" fontId="6" fillId="0" borderId="0" xfId="2" applyFont="1" applyFill="1" applyBorder="1" applyAlignment="1">
      <alignment horizontal="center" vertical="center"/>
    </xf>
    <xf numFmtId="0" fontId="19" fillId="4" borderId="1" xfId="0" applyFont="1" applyFill="1" applyBorder="1"/>
    <xf numFmtId="0" fontId="6" fillId="4" borderId="2" xfId="0" applyFont="1" applyFill="1" applyBorder="1"/>
    <xf numFmtId="0" fontId="6" fillId="4" borderId="3" xfId="0" applyFont="1" applyFill="1" applyBorder="1"/>
    <xf numFmtId="0" fontId="36" fillId="6" borderId="3" xfId="0" applyFont="1" applyFill="1" applyBorder="1"/>
    <xf numFmtId="0" fontId="6" fillId="2" borderId="5" xfId="0" applyFont="1" applyFill="1" applyBorder="1" applyAlignment="1">
      <alignment vertical="center"/>
    </xf>
    <xf numFmtId="169" fontId="6" fillId="0" borderId="5" xfId="1" applyNumberFormat="1" applyFont="1" applyBorder="1" applyAlignment="1">
      <alignment horizontal="center" vertical="center"/>
    </xf>
    <xf numFmtId="0" fontId="0" fillId="0" borderId="4" xfId="0" applyBorder="1"/>
    <xf numFmtId="0" fontId="4" fillId="9" borderId="29" xfId="0" applyFont="1" applyFill="1" applyBorder="1" applyAlignment="1">
      <alignment horizontal="center" vertical="center"/>
    </xf>
    <xf numFmtId="0" fontId="4" fillId="9" borderId="29" xfId="0" applyFont="1" applyFill="1" applyBorder="1" applyAlignment="1">
      <alignment horizontal="center" vertical="center" wrapText="1"/>
    </xf>
    <xf numFmtId="0" fontId="29" fillId="2" borderId="0" xfId="0" applyFont="1" applyFill="1" applyAlignment="1">
      <alignment vertical="center"/>
    </xf>
    <xf numFmtId="9" fontId="7" fillId="2" borderId="0" xfId="2" applyFont="1" applyFill="1" applyBorder="1" applyAlignment="1">
      <alignment horizontal="center" vertical="center"/>
    </xf>
    <xf numFmtId="9" fontId="22" fillId="0" borderId="0" xfId="0" applyNumberFormat="1" applyFont="1" applyAlignment="1">
      <alignment horizontal="center"/>
    </xf>
    <xf numFmtId="0" fontId="6" fillId="0" borderId="0" xfId="0" applyFont="1" applyAlignment="1">
      <alignment vertical="center"/>
    </xf>
    <xf numFmtId="169" fontId="6" fillId="0" borderId="0" xfId="1" applyNumberFormat="1" applyFont="1" applyFill="1" applyBorder="1" applyAlignment="1">
      <alignment horizontal="center" vertical="center"/>
    </xf>
    <xf numFmtId="0" fontId="29" fillId="0" borderId="0" xfId="0" applyFont="1" applyAlignment="1">
      <alignment vertical="center"/>
    </xf>
    <xf numFmtId="169" fontId="7" fillId="0" borderId="0" xfId="1" applyNumberFormat="1" applyFont="1" applyFill="1" applyBorder="1" applyAlignment="1">
      <alignment horizontal="center" vertical="center"/>
    </xf>
    <xf numFmtId="9" fontId="7" fillId="0" borderId="0" xfId="2" applyFont="1" applyFill="1" applyBorder="1" applyAlignment="1">
      <alignment horizontal="center" vertical="center"/>
    </xf>
    <xf numFmtId="0" fontId="3" fillId="9" borderId="30" xfId="0" applyFont="1" applyFill="1" applyBorder="1" applyAlignment="1">
      <alignment vertical="center"/>
    </xf>
    <xf numFmtId="169" fontId="6" fillId="0" borderId="4" xfId="0" applyNumberFormat="1" applyFont="1" applyBorder="1" applyAlignment="1">
      <alignment vertical="center"/>
    </xf>
    <xf numFmtId="0" fontId="3" fillId="0" borderId="5" xfId="0" applyFont="1" applyBorder="1" applyAlignment="1">
      <alignment vertical="center"/>
    </xf>
    <xf numFmtId="0" fontId="6" fillId="0" borderId="5" xfId="0" applyFont="1" applyBorder="1" applyAlignment="1">
      <alignment vertical="center"/>
    </xf>
    <xf numFmtId="0" fontId="6" fillId="0" borderId="28" xfId="0" applyFont="1" applyBorder="1" applyAlignment="1">
      <alignment vertical="center"/>
    </xf>
    <xf numFmtId="6" fontId="6" fillId="0" borderId="28" xfId="0" applyNumberFormat="1" applyFont="1" applyBorder="1" applyAlignment="1">
      <alignment vertical="center"/>
    </xf>
    <xf numFmtId="169" fontId="6" fillId="0" borderId="5" xfId="0" applyNumberFormat="1" applyFont="1" applyBorder="1" applyAlignment="1">
      <alignment vertical="center"/>
    </xf>
    <xf numFmtId="169" fontId="3" fillId="0" borderId="5" xfId="0" applyNumberFormat="1" applyFont="1" applyBorder="1" applyAlignment="1">
      <alignment vertical="center"/>
    </xf>
    <xf numFmtId="169" fontId="6" fillId="0" borderId="4" xfId="2" applyNumberFormat="1" applyFont="1" applyFill="1" applyBorder="1" applyAlignment="1">
      <alignment vertical="center"/>
    </xf>
    <xf numFmtId="9" fontId="31" fillId="0" borderId="0" xfId="2" applyFont="1" applyFill="1" applyBorder="1" applyAlignment="1">
      <alignment horizontal="center"/>
    </xf>
    <xf numFmtId="165" fontId="7" fillId="0" borderId="0" xfId="1" applyNumberFormat="1" applyFont="1" applyBorder="1" applyAlignment="1">
      <alignment horizontal="center" vertical="center"/>
    </xf>
    <xf numFmtId="169" fontId="6" fillId="0" borderId="4" xfId="1" applyNumberFormat="1" applyFont="1" applyBorder="1" applyAlignment="1">
      <alignment horizontal="center" vertical="center"/>
    </xf>
    <xf numFmtId="0" fontId="6" fillId="2" borderId="28" xfId="0" applyFont="1" applyFill="1" applyBorder="1" applyAlignment="1">
      <alignment vertical="center"/>
    </xf>
    <xf numFmtId="169" fontId="6" fillId="0" borderId="28" xfId="1" applyNumberFormat="1" applyFont="1" applyBorder="1" applyAlignment="1">
      <alignment horizontal="center" vertical="center"/>
    </xf>
    <xf numFmtId="169" fontId="6" fillId="0" borderId="28" xfId="2" applyNumberFormat="1" applyFont="1" applyFill="1" applyBorder="1" applyAlignment="1">
      <alignment vertical="center"/>
    </xf>
    <xf numFmtId="169" fontId="6" fillId="0" borderId="28" xfId="0" applyNumberFormat="1" applyFont="1" applyBorder="1" applyAlignment="1">
      <alignment vertical="center"/>
    </xf>
    <xf numFmtId="0" fontId="6" fillId="0" borderId="4" xfId="0" applyFont="1" applyBorder="1" applyAlignment="1">
      <alignment horizontal="right" vertical="center"/>
    </xf>
    <xf numFmtId="0" fontId="6" fillId="0" borderId="28" xfId="0" applyFont="1" applyBorder="1" applyAlignment="1">
      <alignment horizontal="right" vertical="center"/>
    </xf>
    <xf numFmtId="169" fontId="6" fillId="0" borderId="5" xfId="2" applyNumberFormat="1" applyFont="1" applyFill="1" applyBorder="1" applyAlignment="1">
      <alignment vertical="center"/>
    </xf>
    <xf numFmtId="0" fontId="6" fillId="0" borderId="5" xfId="0" applyFont="1" applyBorder="1" applyAlignment="1">
      <alignment horizontal="right" vertical="center"/>
    </xf>
    <xf numFmtId="0" fontId="4" fillId="9" borderId="31" xfId="0" applyFont="1" applyFill="1" applyBorder="1" applyAlignment="1">
      <alignment horizontal="center" vertical="center" wrapText="1"/>
    </xf>
    <xf numFmtId="9" fontId="22" fillId="2" borderId="5" xfId="2" applyFont="1" applyFill="1" applyBorder="1" applyAlignment="1">
      <alignment horizontal="center" vertical="center"/>
    </xf>
    <xf numFmtId="0" fontId="38" fillId="2" borderId="4" xfId="0" applyFont="1" applyFill="1" applyBorder="1" applyAlignment="1">
      <alignment vertical="center"/>
    </xf>
    <xf numFmtId="169" fontId="22" fillId="0" borderId="4" xfId="1" applyNumberFormat="1" applyFont="1" applyBorder="1" applyAlignment="1">
      <alignment horizontal="center" vertical="center"/>
    </xf>
    <xf numFmtId="0" fontId="38" fillId="2" borderId="28" xfId="0" applyFont="1" applyFill="1" applyBorder="1" applyAlignment="1">
      <alignment vertical="center"/>
    </xf>
    <xf numFmtId="169" fontId="22" fillId="0" borderId="28" xfId="1" applyNumberFormat="1" applyFont="1" applyBorder="1" applyAlignment="1">
      <alignment horizontal="center" vertical="center"/>
    </xf>
    <xf numFmtId="9" fontId="22" fillId="2" borderId="28" xfId="2" applyFont="1" applyFill="1" applyBorder="1" applyAlignment="1">
      <alignment horizontal="center" vertical="center"/>
    </xf>
    <xf numFmtId="0" fontId="39" fillId="0" borderId="0" xfId="0" applyFont="1" applyAlignment="1">
      <alignment horizontal="left"/>
    </xf>
    <xf numFmtId="0" fontId="41" fillId="0" borderId="0" xfId="0" applyFont="1"/>
    <xf numFmtId="0" fontId="41" fillId="0" borderId="0" xfId="0" applyFont="1" applyAlignment="1">
      <alignment horizontal="center"/>
    </xf>
    <xf numFmtId="0" fontId="41" fillId="0" borderId="0" xfId="0" applyFont="1" applyAlignment="1">
      <alignment horizontal="center" vertical="center"/>
    </xf>
    <xf numFmtId="0" fontId="43" fillId="5" borderId="19" xfId="0" applyFont="1" applyFill="1" applyBorder="1" applyAlignment="1">
      <alignment horizontal="center" wrapText="1"/>
    </xf>
    <xf numFmtId="0" fontId="43" fillId="5" borderId="11" xfId="0" applyFont="1" applyFill="1" applyBorder="1" applyAlignment="1">
      <alignment horizontal="center" wrapText="1"/>
    </xf>
    <xf numFmtId="0" fontId="43" fillId="5" borderId="20" xfId="0" applyFont="1" applyFill="1" applyBorder="1" applyAlignment="1">
      <alignment horizontal="center" wrapText="1"/>
    </xf>
    <xf numFmtId="0" fontId="43" fillId="5" borderId="17" xfId="0" applyFont="1" applyFill="1" applyBorder="1" applyAlignment="1">
      <alignment horizontal="center"/>
    </xf>
    <xf numFmtId="0" fontId="43" fillId="5" borderId="0" xfId="0" applyFont="1" applyFill="1" applyAlignment="1">
      <alignment horizontal="center"/>
    </xf>
    <xf numFmtId="0" fontId="43" fillId="5" borderId="9" xfId="0" applyFont="1" applyFill="1" applyBorder="1" applyAlignment="1">
      <alignment horizontal="center"/>
    </xf>
    <xf numFmtId="0" fontId="43" fillId="5" borderId="18" xfId="0" applyFont="1" applyFill="1" applyBorder="1" applyAlignment="1">
      <alignment horizontal="center"/>
    </xf>
    <xf numFmtId="0" fontId="41" fillId="0" borderId="19" xfId="0" applyFont="1" applyBorder="1" applyAlignment="1">
      <alignment horizontal="center"/>
    </xf>
    <xf numFmtId="0" fontId="41" fillId="0" borderId="11" xfId="0" applyFont="1" applyBorder="1" applyAlignment="1">
      <alignment horizontal="center"/>
    </xf>
    <xf numFmtId="0" fontId="41" fillId="0" borderId="11" xfId="0" applyFont="1" applyBorder="1"/>
    <xf numFmtId="6" fontId="41" fillId="0" borderId="0" xfId="0" applyNumberFormat="1" applyFont="1" applyAlignment="1">
      <alignment horizontal="center" wrapText="1"/>
    </xf>
    <xf numFmtId="0" fontId="41" fillId="0" borderId="17" xfId="0" applyFont="1" applyBorder="1" applyAlignment="1">
      <alignment horizontal="center"/>
    </xf>
    <xf numFmtId="2" fontId="41" fillId="0" borderId="0" xfId="0" applyNumberFormat="1" applyFont="1" applyAlignment="1">
      <alignment horizontal="center" wrapText="1"/>
    </xf>
    <xf numFmtId="10" fontId="41" fillId="0" borderId="0" xfId="2" applyNumberFormat="1" applyFont="1" applyBorder="1" applyAlignment="1">
      <alignment horizontal="center" wrapText="1"/>
    </xf>
    <xf numFmtId="2" fontId="41" fillId="0" borderId="18" xfId="2" applyNumberFormat="1" applyFont="1" applyBorder="1" applyAlignment="1">
      <alignment horizontal="center" wrapText="1"/>
    </xf>
    <xf numFmtId="0" fontId="41" fillId="0" borderId="0" xfId="0" applyFont="1" applyAlignment="1">
      <alignment wrapText="1"/>
    </xf>
    <xf numFmtId="0" fontId="41" fillId="0" borderId="17" xfId="0" applyFont="1" applyBorder="1" applyAlignment="1">
      <alignment horizontal="center" wrapText="1"/>
    </xf>
    <xf numFmtId="0" fontId="41" fillId="0" borderId="15" xfId="0" applyFont="1" applyBorder="1"/>
    <xf numFmtId="0" fontId="41" fillId="0" borderId="9" xfId="0" applyFont="1" applyBorder="1"/>
    <xf numFmtId="0" fontId="43" fillId="4" borderId="1" xfId="0" applyFont="1" applyFill="1" applyBorder="1" applyAlignment="1">
      <alignment horizontal="left" vertical="center"/>
    </xf>
    <xf numFmtId="0" fontId="41" fillId="4" borderId="2" xfId="0" applyFont="1" applyFill="1" applyBorder="1" applyAlignment="1">
      <alignment horizontal="left" vertical="center"/>
    </xf>
    <xf numFmtId="0" fontId="44" fillId="4" borderId="2" xfId="0" applyFont="1" applyFill="1" applyBorder="1" applyAlignment="1">
      <alignment horizontal="left" vertical="center"/>
    </xf>
    <xf numFmtId="167" fontId="44" fillId="4" borderId="2" xfId="0" applyNumberFormat="1" applyFont="1" applyFill="1" applyBorder="1" applyAlignment="1">
      <alignment horizontal="left" vertical="center"/>
    </xf>
    <xf numFmtId="0" fontId="44" fillId="4" borderId="3" xfId="0" applyFont="1" applyFill="1" applyBorder="1" applyAlignment="1">
      <alignment horizontal="left" vertical="center"/>
    </xf>
    <xf numFmtId="0" fontId="44" fillId="0" borderId="0" xfId="0" applyFont="1" applyAlignment="1">
      <alignment horizontal="center"/>
    </xf>
    <xf numFmtId="169" fontId="44" fillId="0" borderId="0" xfId="0" applyNumberFormat="1" applyFont="1" applyAlignment="1">
      <alignment horizontal="center"/>
    </xf>
    <xf numFmtId="0" fontId="44" fillId="0" borderId="0" xfId="0" applyFont="1"/>
    <xf numFmtId="0" fontId="45" fillId="0" borderId="11" xfId="0" applyFont="1" applyBorder="1"/>
    <xf numFmtId="0" fontId="45" fillId="0" borderId="20" xfId="0" applyFont="1" applyBorder="1"/>
    <xf numFmtId="6" fontId="46" fillId="0" borderId="9" xfId="0" applyNumberFormat="1" applyFont="1" applyBorder="1" applyAlignment="1">
      <alignment horizontal="center" wrapText="1"/>
    </xf>
    <xf numFmtId="6" fontId="46" fillId="0" borderId="16" xfId="0" applyNumberFormat="1" applyFont="1" applyBorder="1" applyAlignment="1">
      <alignment horizontal="center" wrapText="1"/>
    </xf>
    <xf numFmtId="6" fontId="46" fillId="0" borderId="0" xfId="0" applyNumberFormat="1" applyFont="1" applyAlignment="1">
      <alignment horizontal="center" wrapText="1"/>
    </xf>
    <xf numFmtId="0" fontId="42" fillId="8" borderId="12" xfId="0" applyFont="1" applyFill="1" applyBorder="1" applyAlignment="1">
      <alignment vertical="center"/>
    </xf>
    <xf numFmtId="0" fontId="42" fillId="8" borderId="13" xfId="0" applyFont="1" applyFill="1" applyBorder="1" applyAlignment="1">
      <alignment vertical="center"/>
    </xf>
    <xf numFmtId="0" fontId="42" fillId="8" borderId="14" xfId="0" applyFont="1" applyFill="1" applyBorder="1" applyAlignment="1">
      <alignment vertical="center"/>
    </xf>
    <xf numFmtId="0" fontId="43" fillId="0" borderId="17" xfId="0" applyFont="1" applyBorder="1"/>
    <xf numFmtId="0" fontId="47" fillId="0" borderId="0" xfId="0" applyFont="1" applyAlignment="1">
      <alignment horizontal="center"/>
    </xf>
    <xf numFmtId="0" fontId="47" fillId="0" borderId="0" xfId="0" applyFont="1" applyAlignment="1">
      <alignment horizontal="center" wrapText="1"/>
    </xf>
    <xf numFmtId="167" fontId="41" fillId="0" borderId="0" xfId="0" applyNumberFormat="1" applyFont="1" applyAlignment="1">
      <alignment horizontal="center"/>
    </xf>
    <xf numFmtId="164" fontId="41" fillId="0" borderId="0" xfId="2" applyNumberFormat="1" applyFont="1" applyFill="1" applyBorder="1" applyAlignment="1">
      <alignment horizontal="center"/>
    </xf>
    <xf numFmtId="169" fontId="41" fillId="0" borderId="0" xfId="0" applyNumberFormat="1" applyFont="1" applyAlignment="1">
      <alignment horizontal="center"/>
    </xf>
    <xf numFmtId="171" fontId="41" fillId="0" borderId="0" xfId="0" applyNumberFormat="1" applyFont="1" applyAlignment="1">
      <alignment horizontal="center"/>
    </xf>
    <xf numFmtId="9" fontId="41" fillId="0" borderId="0" xfId="0" applyNumberFormat="1" applyFont="1" applyAlignment="1">
      <alignment horizontal="center"/>
    </xf>
    <xf numFmtId="9" fontId="49" fillId="0" borderId="0" xfId="0" applyNumberFormat="1" applyFont="1" applyAlignment="1">
      <alignment horizontal="center"/>
    </xf>
    <xf numFmtId="0" fontId="42" fillId="0" borderId="0" xfId="0" applyFont="1" applyAlignment="1">
      <alignment vertical="center"/>
    </xf>
    <xf numFmtId="0" fontId="6" fillId="0" borderId="0" xfId="0" applyFont="1" applyAlignment="1">
      <alignment horizontal="right"/>
    </xf>
    <xf numFmtId="0" fontId="32" fillId="0" borderId="0" xfId="0" applyFont="1" applyAlignment="1">
      <alignment horizontal="center"/>
    </xf>
    <xf numFmtId="0" fontId="6" fillId="0" borderId="0" xfId="0" applyFont="1" applyAlignment="1">
      <alignment horizontal="left" vertical="center"/>
    </xf>
    <xf numFmtId="9" fontId="26" fillId="0" borderId="0" xfId="0" applyNumberFormat="1" applyFont="1" applyAlignment="1">
      <alignment horizontal="center"/>
    </xf>
    <xf numFmtId="0" fontId="3" fillId="8" borderId="0" xfId="0" applyFont="1" applyFill="1"/>
    <xf numFmtId="0" fontId="6" fillId="8" borderId="0" xfId="0" applyFont="1" applyFill="1"/>
    <xf numFmtId="0" fontId="6" fillId="8" borderId="0" xfId="0" applyFont="1" applyFill="1" applyAlignment="1">
      <alignment horizontal="center"/>
    </xf>
    <xf numFmtId="0" fontId="33" fillId="8" borderId="0" xfId="0" applyFont="1" applyFill="1"/>
    <xf numFmtId="0" fontId="20" fillId="8" borderId="0" xfId="0" applyFont="1" applyFill="1" applyAlignment="1">
      <alignment horizontal="center"/>
    </xf>
    <xf numFmtId="169" fontId="6" fillId="8" borderId="0" xfId="0" applyNumberFormat="1" applyFont="1" applyFill="1" applyAlignment="1">
      <alignment horizontal="center"/>
    </xf>
    <xf numFmtId="0" fontId="7" fillId="8" borderId="0" xfId="0" applyFont="1" applyFill="1"/>
    <xf numFmtId="10" fontId="10" fillId="8" borderId="0" xfId="2" applyNumberFormat="1" applyFont="1" applyFill="1"/>
    <xf numFmtId="10" fontId="6" fillId="8" borderId="0" xfId="2" applyNumberFormat="1" applyFont="1" applyFill="1"/>
    <xf numFmtId="169" fontId="32" fillId="8" borderId="0" xfId="0" applyNumberFormat="1" applyFont="1" applyFill="1" applyAlignment="1">
      <alignment horizontal="center"/>
    </xf>
    <xf numFmtId="169" fontId="6" fillId="8" borderId="0" xfId="0" applyNumberFormat="1" applyFont="1" applyFill="1"/>
    <xf numFmtId="169" fontId="6" fillId="8" borderId="0" xfId="2" applyNumberFormat="1" applyFont="1" applyFill="1"/>
    <xf numFmtId="169" fontId="6" fillId="8" borderId="0" xfId="2" applyNumberFormat="1" applyFont="1" applyFill="1" applyBorder="1"/>
    <xf numFmtId="0" fontId="6" fillId="8" borderId="9" xfId="0" applyFont="1" applyFill="1" applyBorder="1"/>
    <xf numFmtId="169" fontId="6" fillId="8" borderId="9" xfId="0" applyNumberFormat="1" applyFont="1" applyFill="1" applyBorder="1"/>
    <xf numFmtId="169" fontId="4" fillId="8" borderId="0" xfId="0" applyNumberFormat="1" applyFont="1" applyFill="1" applyAlignment="1">
      <alignment horizontal="center" vertical="center"/>
    </xf>
    <xf numFmtId="1" fontId="6" fillId="8" borderId="0" xfId="2" applyNumberFormat="1" applyFont="1" applyFill="1" applyBorder="1"/>
    <xf numFmtId="169" fontId="6" fillId="8" borderId="0" xfId="0" applyNumberFormat="1" applyFont="1" applyFill="1" applyAlignment="1">
      <alignment horizontal="right"/>
    </xf>
    <xf numFmtId="6" fontId="6" fillId="8" borderId="0" xfId="0" applyNumberFormat="1" applyFont="1" applyFill="1" applyAlignment="1">
      <alignment horizontal="right"/>
    </xf>
    <xf numFmtId="0" fontId="4" fillId="8" borderId="22" xfId="0" applyFont="1" applyFill="1" applyBorder="1" applyAlignment="1">
      <alignment horizontal="right"/>
    </xf>
    <xf numFmtId="0" fontId="6" fillId="8" borderId="22" xfId="0" applyFont="1" applyFill="1" applyBorder="1"/>
    <xf numFmtId="0" fontId="3" fillId="8" borderId="22" xfId="0" applyFont="1" applyFill="1" applyBorder="1" applyAlignment="1">
      <alignment horizontal="center"/>
    </xf>
    <xf numFmtId="10" fontId="6" fillId="8" borderId="22" xfId="2" applyNumberFormat="1" applyFont="1" applyFill="1" applyBorder="1" applyAlignment="1">
      <alignment horizontal="right"/>
    </xf>
    <xf numFmtId="0" fontId="3" fillId="8" borderId="0" xfId="0" applyFont="1" applyFill="1" applyAlignment="1">
      <alignment horizontal="center"/>
    </xf>
    <xf numFmtId="10" fontId="6" fillId="8" borderId="0" xfId="2" applyNumberFormat="1" applyFont="1" applyFill="1" applyBorder="1" applyAlignment="1">
      <alignment horizontal="right"/>
    </xf>
    <xf numFmtId="175" fontId="3" fillId="8" borderId="0" xfId="0" applyNumberFormat="1" applyFont="1" applyFill="1" applyAlignment="1">
      <alignment horizontal="left"/>
    </xf>
    <xf numFmtId="175" fontId="6" fillId="8" borderId="0" xfId="0" applyNumberFormat="1" applyFont="1" applyFill="1" applyAlignment="1">
      <alignment horizontal="left"/>
    </xf>
    <xf numFmtId="41" fontId="6" fillId="8" borderId="0" xfId="0" applyNumberFormat="1" applyFont="1" applyFill="1" applyAlignment="1">
      <alignment horizontal="right" wrapText="1"/>
    </xf>
    <xf numFmtId="174" fontId="28" fillId="8" borderId="0" xfId="1" applyNumberFormat="1" applyFont="1" applyFill="1" applyBorder="1" applyAlignment="1">
      <alignment horizontal="right"/>
    </xf>
    <xf numFmtId="9" fontId="6" fillId="8" borderId="0" xfId="0" applyNumberFormat="1" applyFont="1" applyFill="1" applyAlignment="1">
      <alignment horizontal="right" wrapText="1"/>
    </xf>
    <xf numFmtId="41" fontId="6" fillId="8" borderId="4" xfId="0" applyNumberFormat="1" applyFont="1" applyFill="1" applyBorder="1" applyAlignment="1">
      <alignment horizontal="right" wrapText="1"/>
    </xf>
    <xf numFmtId="175" fontId="6" fillId="8" borderId="0" xfId="0" applyNumberFormat="1" applyFont="1" applyFill="1" applyAlignment="1">
      <alignment horizontal="left" indent="2"/>
    </xf>
    <xf numFmtId="175" fontId="6" fillId="8" borderId="0" xfId="0" applyNumberFormat="1" applyFont="1" applyFill="1" applyAlignment="1">
      <alignment horizontal="right"/>
    </xf>
    <xf numFmtId="175" fontId="6" fillId="8" borderId="0" xfId="0" applyNumberFormat="1" applyFont="1" applyFill="1" applyAlignment="1">
      <alignment horizontal="left" indent="1"/>
    </xf>
    <xf numFmtId="41" fontId="10" fillId="8" borderId="0" xfId="0" applyNumberFormat="1" applyFont="1" applyFill="1" applyAlignment="1">
      <alignment horizontal="right" wrapText="1"/>
    </xf>
    <xf numFmtId="6" fontId="6" fillId="8" borderId="0" xfId="0" applyNumberFormat="1" applyFont="1" applyFill="1" applyAlignment="1">
      <alignment horizontal="right" wrapText="1"/>
    </xf>
    <xf numFmtId="175" fontId="6" fillId="8" borderId="0" xfId="0" applyNumberFormat="1" applyFont="1" applyFill="1" applyAlignment="1">
      <alignment horizontal="right" wrapText="1"/>
    </xf>
    <xf numFmtId="41" fontId="10" fillId="8" borderId="9" xfId="0" applyNumberFormat="1" applyFont="1" applyFill="1" applyBorder="1" applyAlignment="1">
      <alignment horizontal="right" wrapText="1"/>
    </xf>
    <xf numFmtId="6" fontId="6" fillId="8" borderId="9" xfId="0" applyNumberFormat="1" applyFont="1" applyFill="1" applyBorder="1" applyAlignment="1">
      <alignment horizontal="right" wrapText="1"/>
    </xf>
    <xf numFmtId="0" fontId="0" fillId="8" borderId="0" xfId="0" applyFill="1"/>
    <xf numFmtId="0" fontId="0" fillId="8" borderId="22" xfId="0" applyFill="1" applyBorder="1"/>
    <xf numFmtId="169" fontId="50" fillId="8" borderId="0" xfId="0" applyNumberFormat="1" applyFont="1" applyFill="1"/>
    <xf numFmtId="9" fontId="51" fillId="0" borderId="0" xfId="0" applyNumberFormat="1" applyFont="1" applyAlignment="1">
      <alignment horizontal="center"/>
    </xf>
    <xf numFmtId="165" fontId="0" fillId="0" borderId="0" xfId="1" applyNumberFormat="1" applyFont="1"/>
    <xf numFmtId="9" fontId="22" fillId="6" borderId="5" xfId="0" applyNumberFormat="1" applyFont="1" applyFill="1" applyBorder="1" applyAlignment="1">
      <alignment horizontal="center"/>
    </xf>
    <xf numFmtId="0" fontId="38" fillId="2" borderId="6" xfId="0" applyFont="1" applyFill="1" applyBorder="1" applyAlignment="1">
      <alignment vertical="center"/>
    </xf>
    <xf numFmtId="169" fontId="22" fillId="0" borderId="6" xfId="1" applyNumberFormat="1" applyFont="1" applyBorder="1" applyAlignment="1">
      <alignment horizontal="center" vertical="center"/>
    </xf>
    <xf numFmtId="2" fontId="6" fillId="0" borderId="0" xfId="0" applyNumberFormat="1" applyFont="1" applyAlignment="1">
      <alignment horizontal="right"/>
    </xf>
    <xf numFmtId="0" fontId="48" fillId="0" borderId="0" xfId="0" applyFont="1" applyAlignment="1">
      <alignment horizontal="center" vertical="center" wrapText="1"/>
    </xf>
    <xf numFmtId="0" fontId="53" fillId="0" borderId="0" xfId="0" applyFont="1" applyAlignment="1">
      <alignment vertical="center"/>
    </xf>
    <xf numFmtId="0" fontId="0" fillId="0" borderId="22" xfId="0" applyBorder="1"/>
    <xf numFmtId="0" fontId="6" fillId="0" borderId="25" xfId="0" applyFont="1" applyBorder="1"/>
    <xf numFmtId="0" fontId="54" fillId="0" borderId="0" xfId="0" applyFont="1" applyAlignment="1">
      <alignment vertical="center"/>
    </xf>
    <xf numFmtId="176" fontId="4" fillId="0" borderId="4" xfId="0" applyNumberFormat="1" applyFont="1" applyBorder="1" applyAlignment="1">
      <alignment horizontal="center"/>
    </xf>
    <xf numFmtId="2" fontId="40" fillId="0" borderId="22" xfId="0" applyNumberFormat="1" applyFont="1" applyBorder="1" applyAlignment="1">
      <alignment horizontal="center"/>
    </xf>
    <xf numFmtId="6" fontId="55" fillId="0" borderId="0" xfId="0" applyNumberFormat="1" applyFont="1"/>
    <xf numFmtId="6" fontId="55" fillId="0" borderId="9" xfId="0" applyNumberFormat="1" applyFont="1" applyBorder="1"/>
    <xf numFmtId="0" fontId="43" fillId="0" borderId="0" xfId="0" applyFont="1"/>
    <xf numFmtId="0" fontId="41" fillId="0" borderId="4" xfId="0" applyFont="1" applyBorder="1"/>
    <xf numFmtId="0" fontId="47" fillId="5" borderId="14" xfId="0" applyFont="1" applyFill="1" applyBorder="1" applyAlignment="1">
      <alignment horizontal="center"/>
    </xf>
    <xf numFmtId="0" fontId="6" fillId="0" borderId="0" xfId="0" applyFont="1" applyAlignment="1">
      <alignment wrapText="1"/>
    </xf>
    <xf numFmtId="9" fontId="6" fillId="0" borderId="9" xfId="0" applyNumberFormat="1" applyFont="1" applyBorder="1"/>
    <xf numFmtId="9" fontId="56" fillId="0" borderId="0" xfId="0" applyNumberFormat="1" applyFont="1"/>
    <xf numFmtId="6" fontId="6" fillId="8" borderId="0" xfId="0" applyNumberFormat="1" applyFont="1" applyFill="1"/>
    <xf numFmtId="0" fontId="20" fillId="8" borderId="0" xfId="0" applyFont="1" applyFill="1"/>
    <xf numFmtId="0" fontId="8" fillId="0" borderId="23" xfId="0" applyFont="1" applyBorder="1" applyAlignment="1">
      <alignment horizontal="center"/>
    </xf>
    <xf numFmtId="0" fontId="8" fillId="0" borderId="10" xfId="0" applyFont="1" applyBorder="1" applyAlignment="1">
      <alignment horizontal="center"/>
    </xf>
    <xf numFmtId="0" fontId="6" fillId="0" borderId="10" xfId="0" applyFont="1" applyBorder="1"/>
    <xf numFmtId="6" fontId="3" fillId="0" borderId="22" xfId="0" applyNumberFormat="1" applyFont="1" applyBorder="1"/>
    <xf numFmtId="169" fontId="6" fillId="0" borderId="0" xfId="0" applyNumberFormat="1" applyFont="1" applyAlignment="1">
      <alignment horizontal="right"/>
    </xf>
    <xf numFmtId="9" fontId="5" fillId="0" borderId="0" xfId="2" applyFont="1" applyFill="1" applyBorder="1" applyAlignment="1">
      <alignment horizontal="right"/>
    </xf>
    <xf numFmtId="0" fontId="13" fillId="0" borderId="32" xfId="0" applyFont="1" applyBorder="1" applyAlignment="1">
      <alignment horizontal="center"/>
    </xf>
    <xf numFmtId="0" fontId="6" fillId="0" borderId="24" xfId="0" applyFont="1" applyBorder="1"/>
    <xf numFmtId="164" fontId="4" fillId="0" borderId="0" xfId="2" applyNumberFormat="1" applyFont="1" applyAlignment="1">
      <alignment horizontal="center"/>
    </xf>
    <xf numFmtId="2" fontId="0" fillId="0" borderId="0" xfId="0" applyNumberFormat="1"/>
    <xf numFmtId="0" fontId="6" fillId="0" borderId="9" xfId="0" applyFont="1" applyBorder="1" applyAlignment="1">
      <alignment wrapText="1"/>
    </xf>
    <xf numFmtId="0" fontId="57" fillId="0" borderId="19" xfId="0" applyFont="1" applyBorder="1"/>
    <xf numFmtId="0" fontId="57" fillId="0" borderId="20" xfId="0" applyFont="1" applyBorder="1"/>
    <xf numFmtId="6" fontId="57" fillId="0" borderId="17" xfId="0" applyNumberFormat="1" applyFont="1" applyBorder="1" applyAlignment="1">
      <alignment horizontal="center" wrapText="1"/>
    </xf>
    <xf numFmtId="6" fontId="57" fillId="0" borderId="18" xfId="0" applyNumberFormat="1" applyFont="1" applyBorder="1" applyAlignment="1">
      <alignment horizontal="center" wrapText="1"/>
    </xf>
    <xf numFmtId="0" fontId="57" fillId="0" borderId="15" xfId="0" applyFont="1" applyBorder="1"/>
    <xf numFmtId="0" fontId="57" fillId="0" borderId="16" xfId="0" applyFont="1" applyBorder="1"/>
    <xf numFmtId="6" fontId="58" fillId="0" borderId="0" xfId="0" applyNumberFormat="1" applyFont="1"/>
    <xf numFmtId="6" fontId="13" fillId="0" borderId="0" xfId="0" applyNumberFormat="1" applyFont="1"/>
    <xf numFmtId="0" fontId="6" fillId="5" borderId="3" xfId="0" applyFont="1" applyFill="1" applyBorder="1"/>
    <xf numFmtId="0" fontId="6" fillId="3" borderId="0" xfId="0" applyFont="1" applyFill="1"/>
    <xf numFmtId="164" fontId="5" fillId="3" borderId="0" xfId="2" applyNumberFormat="1" applyFont="1" applyFill="1" applyBorder="1" applyAlignment="1">
      <alignment horizontal="center"/>
    </xf>
    <xf numFmtId="0" fontId="3" fillId="3" borderId="0" xfId="0" applyFont="1" applyFill="1" applyAlignment="1">
      <alignment horizontal="center"/>
    </xf>
    <xf numFmtId="9" fontId="5" fillId="0" borderId="0" xfId="2" applyFont="1" applyFill="1" applyBorder="1" applyAlignment="1">
      <alignment horizontal="center"/>
    </xf>
    <xf numFmtId="0" fontId="8" fillId="5" borderId="10" xfId="0" applyFont="1" applyFill="1" applyBorder="1" applyAlignment="1">
      <alignment vertical="center"/>
    </xf>
    <xf numFmtId="0" fontId="54" fillId="5" borderId="10" xfId="0" applyFont="1" applyFill="1" applyBorder="1" applyAlignment="1">
      <alignment vertical="center"/>
    </xf>
    <xf numFmtId="0" fontId="54" fillId="5" borderId="24" xfId="0" applyFont="1" applyFill="1" applyBorder="1" applyAlignment="1">
      <alignment vertical="center"/>
    </xf>
    <xf numFmtId="1" fontId="0" fillId="0" borderId="0" xfId="0" applyNumberFormat="1"/>
    <xf numFmtId="176" fontId="4" fillId="0" borderId="0" xfId="0" applyNumberFormat="1" applyFont="1" applyAlignment="1">
      <alignment horizontal="center"/>
    </xf>
    <xf numFmtId="0" fontId="61" fillId="0" borderId="0" xfId="0" applyFont="1"/>
    <xf numFmtId="0" fontId="19" fillId="5" borderId="2" xfId="0" applyFont="1" applyFill="1" applyBorder="1" applyAlignment="1">
      <alignment horizontal="center"/>
    </xf>
    <xf numFmtId="0" fontId="6" fillId="4" borderId="0" xfId="0" applyFont="1" applyFill="1"/>
    <xf numFmtId="0" fontId="3" fillId="4" borderId="0" xfId="0" applyFont="1" applyFill="1" applyAlignment="1">
      <alignment horizontal="center"/>
    </xf>
    <xf numFmtId="0" fontId="6" fillId="4" borderId="23" xfId="0" applyFont="1" applyFill="1" applyBorder="1"/>
    <xf numFmtId="0" fontId="6" fillId="4" borderId="10" xfId="0" applyFont="1" applyFill="1" applyBorder="1"/>
    <xf numFmtId="0" fontId="3" fillId="4" borderId="10" xfId="0" applyFont="1" applyFill="1" applyBorder="1" applyAlignment="1">
      <alignment horizontal="center"/>
    </xf>
    <xf numFmtId="0" fontId="6" fillId="4" borderId="8" xfId="0" applyFont="1" applyFill="1" applyBorder="1"/>
    <xf numFmtId="0" fontId="62" fillId="4" borderId="0" xfId="0" applyFont="1" applyFill="1"/>
    <xf numFmtId="0" fontId="6" fillId="4" borderId="25" xfId="0" applyFont="1" applyFill="1" applyBorder="1"/>
    <xf numFmtId="0" fontId="6" fillId="4" borderId="26" xfId="0" applyFont="1" applyFill="1" applyBorder="1"/>
    <xf numFmtId="0" fontId="6" fillId="4" borderId="22" xfId="0" applyFont="1" applyFill="1" applyBorder="1"/>
    <xf numFmtId="0" fontId="62" fillId="4" borderId="22" xfId="0" applyFont="1" applyFill="1" applyBorder="1"/>
    <xf numFmtId="0" fontId="3" fillId="4" borderId="22" xfId="0" applyFont="1" applyFill="1" applyBorder="1" applyAlignment="1">
      <alignment horizontal="center"/>
    </xf>
    <xf numFmtId="0" fontId="6" fillId="4" borderId="27" xfId="0" applyFont="1" applyFill="1" applyBorder="1"/>
    <xf numFmtId="0" fontId="52" fillId="4" borderId="10" xfId="0" applyFont="1" applyFill="1" applyBorder="1"/>
    <xf numFmtId="0" fontId="43" fillId="0" borderId="12" xfId="0" applyFont="1" applyBorder="1" applyAlignment="1">
      <alignment vertical="center"/>
    </xf>
    <xf numFmtId="0" fontId="41" fillId="0" borderId="14" xfId="0" applyFont="1" applyBorder="1"/>
    <xf numFmtId="0" fontId="14" fillId="5" borderId="4" xfId="0" applyFont="1" applyFill="1" applyBorder="1" applyAlignment="1">
      <alignment horizontal="center"/>
    </xf>
    <xf numFmtId="164" fontId="22" fillId="0" borderId="4" xfId="2" applyNumberFormat="1" applyFont="1" applyFill="1" applyBorder="1" applyAlignment="1">
      <alignment horizontal="center"/>
    </xf>
    <xf numFmtId="0" fontId="6" fillId="11" borderId="0" xfId="0" applyFont="1" applyFill="1"/>
    <xf numFmtId="170" fontId="4" fillId="11" borderId="0" xfId="0" applyNumberFormat="1" applyFont="1" applyFill="1" applyAlignment="1">
      <alignment horizontal="center"/>
    </xf>
    <xf numFmtId="9" fontId="5" fillId="11" borderId="0" xfId="2" applyFont="1" applyFill="1" applyBorder="1" applyAlignment="1">
      <alignment horizontal="center"/>
    </xf>
    <xf numFmtId="169" fontId="5" fillId="11" borderId="0" xfId="2" applyNumberFormat="1" applyFont="1" applyFill="1" applyBorder="1" applyAlignment="1">
      <alignment horizontal="center"/>
    </xf>
    <xf numFmtId="0" fontId="13" fillId="11" borderId="0" xfId="0" applyFont="1" applyFill="1" applyAlignment="1">
      <alignment horizontal="center"/>
    </xf>
    <xf numFmtId="0" fontId="47" fillId="0" borderId="13" xfId="0" applyFont="1" applyBorder="1" applyAlignment="1">
      <alignment horizontal="center"/>
    </xf>
    <xf numFmtId="0" fontId="67" fillId="0" borderId="12" xfId="0" applyFont="1" applyBorder="1"/>
    <xf numFmtId="1" fontId="71" fillId="0" borderId="0" xfId="0" applyNumberFormat="1" applyFont="1" applyAlignment="1">
      <alignment horizontal="center"/>
    </xf>
    <xf numFmtId="6" fontId="25" fillId="0" borderId="0" xfId="0" applyNumberFormat="1" applyFont="1" applyAlignment="1">
      <alignment horizontal="center"/>
    </xf>
    <xf numFmtId="6" fontId="70" fillId="0" borderId="0" xfId="0" applyNumberFormat="1" applyFont="1"/>
    <xf numFmtId="6" fontId="70" fillId="0" borderId="0" xfId="0" applyNumberFormat="1" applyFont="1" applyAlignment="1">
      <alignment horizontal="center"/>
    </xf>
    <xf numFmtId="0" fontId="71" fillId="0" borderId="0" xfId="0" applyFont="1"/>
    <xf numFmtId="0" fontId="43" fillId="5" borderId="1" xfId="0" applyFont="1" applyFill="1" applyBorder="1"/>
    <xf numFmtId="0" fontId="47" fillId="5" borderId="2" xfId="0" applyFont="1" applyFill="1" applyBorder="1" applyAlignment="1">
      <alignment horizontal="center"/>
    </xf>
    <xf numFmtId="3" fontId="3" fillId="5" borderId="6" xfId="0" applyNumberFormat="1" applyFont="1" applyFill="1" applyBorder="1" applyAlignment="1">
      <alignment horizontal="left"/>
    </xf>
    <xf numFmtId="2" fontId="6" fillId="0" borderId="0" xfId="0" applyNumberFormat="1" applyFont="1" applyAlignment="1">
      <alignment horizontal="center"/>
    </xf>
    <xf numFmtId="0" fontId="43" fillId="12" borderId="12" xfId="0" applyFont="1" applyFill="1" applyBorder="1" applyAlignment="1">
      <alignment wrapText="1"/>
    </xf>
    <xf numFmtId="0" fontId="47" fillId="12" borderId="14" xfId="0" applyFont="1" applyFill="1" applyBorder="1" applyAlignment="1">
      <alignment horizontal="center"/>
    </xf>
    <xf numFmtId="166" fontId="19" fillId="5" borderId="3" xfId="0" applyNumberFormat="1" applyFont="1" applyFill="1" applyBorder="1" applyAlignment="1">
      <alignment horizontal="center"/>
    </xf>
    <xf numFmtId="0" fontId="54" fillId="5" borderId="1" xfId="0" applyFont="1" applyFill="1" applyBorder="1" applyAlignment="1">
      <alignment vertical="center"/>
    </xf>
    <xf numFmtId="0" fontId="13" fillId="0" borderId="5" xfId="0" applyFont="1" applyBorder="1" applyAlignment="1">
      <alignment horizontal="center"/>
    </xf>
    <xf numFmtId="0" fontId="13" fillId="0" borderId="36" xfId="0" applyFont="1" applyBorder="1" applyAlignment="1">
      <alignment horizontal="center"/>
    </xf>
    <xf numFmtId="10" fontId="3" fillId="10" borderId="3" xfId="2" applyNumberFormat="1" applyFont="1" applyFill="1" applyBorder="1" applyAlignment="1">
      <alignment horizontal="center" vertical="center"/>
    </xf>
    <xf numFmtId="0" fontId="3" fillId="10" borderId="1" xfId="0" applyFont="1" applyFill="1" applyBorder="1" applyAlignment="1">
      <alignment horizontal="left" vertical="center" wrapText="1"/>
    </xf>
    <xf numFmtId="0" fontId="3" fillId="10" borderId="3" xfId="0" applyFont="1" applyFill="1" applyBorder="1" applyAlignment="1">
      <alignment horizontal="left" vertical="center" wrapText="1"/>
    </xf>
    <xf numFmtId="169" fontId="3" fillId="8" borderId="0" xfId="0" applyNumberFormat="1" applyFont="1" applyFill="1" applyAlignment="1">
      <alignment horizontal="center"/>
    </xf>
    <xf numFmtId="9" fontId="6" fillId="8" borderId="0" xfId="2" applyFont="1" applyFill="1" applyAlignment="1">
      <alignment horizontal="center"/>
    </xf>
    <xf numFmtId="169" fontId="4" fillId="8" borderId="0" xfId="0" applyNumberFormat="1" applyFont="1" applyFill="1" applyAlignment="1">
      <alignment horizontal="center"/>
    </xf>
    <xf numFmtId="169" fontId="6" fillId="8" borderId="9" xfId="0" applyNumberFormat="1" applyFont="1" applyFill="1" applyBorder="1" applyAlignment="1">
      <alignment horizontal="center"/>
    </xf>
    <xf numFmtId="9" fontId="6" fillId="8" borderId="9" xfId="2" applyFont="1" applyFill="1" applyBorder="1" applyAlignment="1">
      <alignment horizontal="center"/>
    </xf>
    <xf numFmtId="0" fontId="4" fillId="2" borderId="29" xfId="0" applyFont="1" applyFill="1" applyBorder="1" applyAlignment="1">
      <alignment horizontal="center"/>
    </xf>
    <xf numFmtId="0" fontId="64" fillId="5" borderId="42" xfId="3" applyFont="1" applyFill="1" applyBorder="1" applyAlignment="1" applyProtection="1"/>
    <xf numFmtId="0" fontId="60" fillId="5" borderId="33" xfId="0" applyFont="1" applyFill="1" applyBorder="1" applyAlignment="1">
      <alignment horizontal="center"/>
    </xf>
    <xf numFmtId="169" fontId="6" fillId="5" borderId="36" xfId="1" applyNumberFormat="1" applyFont="1" applyFill="1" applyBorder="1" applyAlignment="1">
      <alignment horizontal="right"/>
    </xf>
    <xf numFmtId="0" fontId="6" fillId="0" borderId="37" xfId="0" applyFont="1" applyBorder="1"/>
    <xf numFmtId="0" fontId="4" fillId="2" borderId="38" xfId="0" applyFont="1" applyFill="1" applyBorder="1" applyAlignment="1">
      <alignment horizontal="center"/>
    </xf>
    <xf numFmtId="169" fontId="6" fillId="0" borderId="39" xfId="1" applyNumberFormat="1" applyFont="1" applyFill="1" applyBorder="1" applyAlignment="1">
      <alignment horizontal="right"/>
    </xf>
    <xf numFmtId="0" fontId="6" fillId="0" borderId="42" xfId="0" applyFont="1" applyBorder="1"/>
    <xf numFmtId="0" fontId="4" fillId="0" borderId="33" xfId="0" applyFont="1" applyBorder="1" applyAlignment="1">
      <alignment horizontal="center"/>
    </xf>
    <xf numFmtId="169" fontId="6" fillId="0" borderId="36" xfId="1" applyNumberFormat="1" applyFont="1" applyBorder="1" applyAlignment="1">
      <alignment horizontal="right"/>
    </xf>
    <xf numFmtId="0" fontId="6" fillId="2" borderId="37" xfId="0" applyFont="1" applyFill="1" applyBorder="1"/>
    <xf numFmtId="0" fontId="4" fillId="0" borderId="38" xfId="0" applyFont="1" applyBorder="1" applyAlignment="1">
      <alignment horizontal="center"/>
    </xf>
    <xf numFmtId="0" fontId="6" fillId="0" borderId="37" xfId="0" applyFont="1" applyBorder="1" applyAlignment="1">
      <alignment horizontal="left"/>
    </xf>
    <xf numFmtId="0" fontId="6" fillId="0" borderId="40" xfId="0" applyFont="1" applyBorder="1"/>
    <xf numFmtId="0" fontId="22" fillId="0" borderId="32" xfId="0" applyFont="1" applyBorder="1" applyAlignment="1">
      <alignment horizontal="right"/>
    </xf>
    <xf numFmtId="0" fontId="6" fillId="0" borderId="42" xfId="0" applyFont="1" applyBorder="1" applyAlignment="1">
      <alignment horizontal="left"/>
    </xf>
    <xf numFmtId="0" fontId="4" fillId="2" borderId="33" xfId="0" applyFont="1" applyFill="1" applyBorder="1" applyAlignment="1">
      <alignment horizontal="center"/>
    </xf>
    <xf numFmtId="0" fontId="6" fillId="0" borderId="40" xfId="0" applyFont="1" applyBorder="1" applyAlignment="1">
      <alignment horizontal="left"/>
    </xf>
    <xf numFmtId="2" fontId="6" fillId="0" borderId="32" xfId="2" applyNumberFormat="1" applyFont="1" applyFill="1" applyBorder="1" applyAlignment="1">
      <alignment horizontal="right"/>
    </xf>
    <xf numFmtId="2" fontId="3" fillId="11" borderId="32" xfId="2" applyNumberFormat="1" applyFont="1" applyFill="1" applyBorder="1" applyAlignment="1">
      <alignment horizontal="right"/>
    </xf>
    <xf numFmtId="2" fontId="3" fillId="11" borderId="36" xfId="2" applyNumberFormat="1" applyFont="1" applyFill="1" applyBorder="1" applyAlignment="1">
      <alignment horizontal="right"/>
    </xf>
    <xf numFmtId="0" fontId="3" fillId="5" borderId="23" xfId="0" applyFont="1" applyFill="1" applyBorder="1"/>
    <xf numFmtId="0" fontId="19" fillId="5" borderId="10" xfId="0" applyFont="1" applyFill="1" applyBorder="1" applyAlignment="1">
      <alignment horizontal="center"/>
    </xf>
    <xf numFmtId="166" fontId="19" fillId="5" borderId="24" xfId="0" applyNumberFormat="1" applyFont="1" applyFill="1" applyBorder="1" applyAlignment="1">
      <alignment horizontal="center"/>
    </xf>
    <xf numFmtId="0" fontId="6" fillId="0" borderId="45" xfId="0" applyFont="1" applyBorder="1"/>
    <xf numFmtId="0" fontId="6" fillId="0" borderId="43" xfId="0" applyFont="1" applyBorder="1"/>
    <xf numFmtId="169" fontId="6" fillId="0" borderId="39" xfId="0" applyNumberFormat="1" applyFont="1" applyBorder="1" applyAlignment="1">
      <alignment horizontal="right"/>
    </xf>
    <xf numFmtId="0" fontId="3" fillId="0" borderId="37" xfId="0" applyFont="1" applyBorder="1"/>
    <xf numFmtId="9" fontId="22" fillId="6" borderId="44" xfId="2" applyFont="1" applyFill="1" applyBorder="1" applyAlignment="1">
      <alignment horizontal="center"/>
    </xf>
    <xf numFmtId="9" fontId="22" fillId="0" borderId="39" xfId="2" applyFont="1" applyFill="1" applyBorder="1" applyAlignment="1">
      <alignment horizontal="right"/>
    </xf>
    <xf numFmtId="6" fontId="6" fillId="0" borderId="36" xfId="0" applyNumberFormat="1" applyFont="1" applyBorder="1" applyAlignment="1">
      <alignment horizontal="right"/>
    </xf>
    <xf numFmtId="0" fontId="19" fillId="0" borderId="1" xfId="0" applyFont="1" applyBorder="1"/>
    <xf numFmtId="9" fontId="22" fillId="0" borderId="36" xfId="0" applyNumberFormat="1" applyFont="1" applyBorder="1" applyAlignment="1">
      <alignment horizontal="right"/>
    </xf>
    <xf numFmtId="0" fontId="3" fillId="0" borderId="30" xfId="0" applyFont="1" applyBorder="1" applyAlignment="1">
      <alignment horizontal="left"/>
    </xf>
    <xf numFmtId="0" fontId="6" fillId="0" borderId="30" xfId="0" applyFont="1" applyBorder="1" applyAlignment="1">
      <alignment horizontal="left" indent="1"/>
    </xf>
    <xf numFmtId="164" fontId="22" fillId="0" borderId="29" xfId="2" applyNumberFormat="1" applyFont="1" applyFill="1" applyBorder="1" applyAlignment="1">
      <alignment horizontal="center"/>
    </xf>
    <xf numFmtId="164" fontId="22" fillId="0" borderId="31" xfId="2" applyNumberFormat="1" applyFont="1" applyFill="1" applyBorder="1" applyAlignment="1">
      <alignment horizontal="center"/>
    </xf>
    <xf numFmtId="0" fontId="6" fillId="0" borderId="37" xfId="0" applyFont="1" applyBorder="1" applyAlignment="1">
      <alignment horizontal="left" indent="1"/>
    </xf>
    <xf numFmtId="164" fontId="22" fillId="0" borderId="38" xfId="2" applyNumberFormat="1" applyFont="1" applyFill="1" applyBorder="1" applyAlignment="1">
      <alignment horizontal="center"/>
    </xf>
    <xf numFmtId="164" fontId="22" fillId="0" borderId="39" xfId="2" applyNumberFormat="1" applyFont="1" applyFill="1" applyBorder="1" applyAlignment="1">
      <alignment horizontal="center"/>
    </xf>
    <xf numFmtId="0" fontId="6" fillId="0" borderId="40" xfId="0" applyFont="1" applyBorder="1" applyAlignment="1">
      <alignment horizontal="left" indent="1"/>
    </xf>
    <xf numFmtId="164" fontId="22" fillId="0" borderId="32" xfId="2" applyNumberFormat="1" applyFont="1" applyFill="1" applyBorder="1" applyAlignment="1">
      <alignment horizontal="center"/>
    </xf>
    <xf numFmtId="0" fontId="6" fillId="0" borderId="42" xfId="0" applyFont="1" applyBorder="1" applyAlignment="1">
      <alignment horizontal="left" indent="1"/>
    </xf>
    <xf numFmtId="164" fontId="22" fillId="0" borderId="33" xfId="2" applyNumberFormat="1" applyFont="1" applyFill="1" applyBorder="1" applyAlignment="1">
      <alignment horizontal="center"/>
    </xf>
    <xf numFmtId="164" fontId="22" fillId="0" borderId="36" xfId="2" applyNumberFormat="1" applyFont="1" applyFill="1" applyBorder="1" applyAlignment="1">
      <alignment horizontal="center"/>
    </xf>
    <xf numFmtId="0" fontId="65" fillId="0" borderId="30" xfId="3" applyFont="1" applyFill="1" applyBorder="1" applyAlignment="1" applyProtection="1"/>
    <xf numFmtId="0" fontId="3" fillId="0" borderId="29" xfId="0" applyFont="1" applyBorder="1"/>
    <xf numFmtId="0" fontId="3" fillId="0" borderId="52" xfId="0" applyFont="1" applyBorder="1"/>
    <xf numFmtId="0" fontId="3" fillId="0" borderId="31" xfId="0" applyFont="1" applyBorder="1"/>
    <xf numFmtId="0" fontId="6" fillId="0" borderId="29" xfId="0" applyFont="1" applyBorder="1"/>
    <xf numFmtId="0" fontId="6" fillId="0" borderId="35" xfId="0" applyFont="1" applyBorder="1"/>
    <xf numFmtId="0" fontId="4" fillId="2" borderId="21" xfId="0" applyFont="1" applyFill="1" applyBorder="1" applyAlignment="1">
      <alignment horizontal="center"/>
    </xf>
    <xf numFmtId="10" fontId="4" fillId="0" borderId="55" xfId="2" applyNumberFormat="1" applyFont="1" applyFill="1" applyBorder="1" applyAlignment="1">
      <alignment horizontal="right"/>
    </xf>
    <xf numFmtId="0" fontId="4" fillId="2" borderId="57" xfId="0" applyFont="1" applyFill="1" applyBorder="1" applyAlignment="1">
      <alignment horizontal="center"/>
    </xf>
    <xf numFmtId="0" fontId="6" fillId="13" borderId="0" xfId="0" applyFont="1" applyFill="1"/>
    <xf numFmtId="0" fontId="45" fillId="13" borderId="0" xfId="0" applyFont="1" applyFill="1"/>
    <xf numFmtId="0" fontId="15" fillId="13" borderId="0" xfId="3" applyFill="1" applyBorder="1" applyAlignment="1" applyProtection="1"/>
    <xf numFmtId="0" fontId="3" fillId="0" borderId="23" xfId="0" applyFont="1" applyBorder="1"/>
    <xf numFmtId="0" fontId="6" fillId="0" borderId="59" xfId="0" applyFont="1" applyBorder="1"/>
    <xf numFmtId="6" fontId="6" fillId="0" borderId="36" xfId="0" applyNumberFormat="1" applyFont="1" applyBorder="1"/>
    <xf numFmtId="9" fontId="4" fillId="2" borderId="4" xfId="2" applyFont="1" applyFill="1" applyBorder="1" applyAlignment="1">
      <alignment horizontal="center"/>
    </xf>
    <xf numFmtId="0" fontId="73" fillId="0" borderId="17" xfId="0" applyFont="1" applyBorder="1"/>
    <xf numFmtId="0" fontId="43" fillId="0" borderId="9" xfId="0" applyFont="1" applyBorder="1"/>
    <xf numFmtId="9" fontId="22" fillId="6" borderId="32" xfId="2" applyFont="1" applyFill="1" applyBorder="1" applyAlignment="1">
      <alignment horizontal="center"/>
    </xf>
    <xf numFmtId="0" fontId="6" fillId="0" borderId="4" xfId="0" applyFont="1" applyBorder="1"/>
    <xf numFmtId="3" fontId="6" fillId="0" borderId="4" xfId="0" applyNumberFormat="1" applyFont="1" applyBorder="1"/>
    <xf numFmtId="169" fontId="22" fillId="0" borderId="4" xfId="1" applyNumberFormat="1" applyFont="1" applyBorder="1" applyAlignment="1" applyProtection="1">
      <alignment horizontal="center" vertical="center"/>
    </xf>
    <xf numFmtId="9" fontId="22" fillId="2" borderId="5" xfId="2" applyFont="1" applyFill="1" applyBorder="1" applyAlignment="1" applyProtection="1">
      <alignment horizontal="center" vertical="center"/>
    </xf>
    <xf numFmtId="169" fontId="22" fillId="0" borderId="6" xfId="1" applyNumberFormat="1" applyFont="1" applyBorder="1" applyAlignment="1" applyProtection="1">
      <alignment horizontal="center" vertical="center"/>
    </xf>
    <xf numFmtId="0" fontId="13" fillId="0" borderId="25" xfId="0" applyFont="1" applyBorder="1" applyAlignment="1">
      <alignment horizontal="center"/>
    </xf>
    <xf numFmtId="169" fontId="3" fillId="0" borderId="0" xfId="0" applyNumberFormat="1" applyFont="1"/>
    <xf numFmtId="0" fontId="6" fillId="0" borderId="5" xfId="0" applyFont="1" applyBorder="1"/>
    <xf numFmtId="173" fontId="6" fillId="0" borderId="0" xfId="0" applyNumberFormat="1" applyFont="1" applyAlignment="1">
      <alignment horizontal="center"/>
    </xf>
    <xf numFmtId="164" fontId="22" fillId="0" borderId="12" xfId="2" applyNumberFormat="1" applyFont="1" applyFill="1" applyBorder="1" applyAlignment="1">
      <alignment horizontal="center"/>
    </xf>
    <xf numFmtId="164" fontId="22" fillId="0" borderId="34" xfId="2" applyNumberFormat="1" applyFont="1" applyFill="1" applyBorder="1" applyAlignment="1">
      <alignment horizontal="center"/>
    </xf>
    <xf numFmtId="0" fontId="20" fillId="0" borderId="52" xfId="0" applyFont="1" applyBorder="1" applyAlignment="1">
      <alignment horizontal="center"/>
    </xf>
    <xf numFmtId="164" fontId="22" fillId="0" borderId="52" xfId="2" applyNumberFormat="1" applyFont="1" applyFill="1" applyBorder="1" applyAlignment="1">
      <alignment horizontal="center"/>
    </xf>
    <xf numFmtId="164" fontId="22" fillId="0" borderId="53" xfId="2" applyNumberFormat="1" applyFont="1" applyFill="1" applyBorder="1" applyAlignment="1">
      <alignment horizontal="center"/>
    </xf>
    <xf numFmtId="0" fontId="26" fillId="0" borderId="11" xfId="0" applyFont="1" applyBorder="1"/>
    <xf numFmtId="0" fontId="26" fillId="0" borderId="0" xfId="0" applyFont="1"/>
    <xf numFmtId="0" fontId="26" fillId="0" borderId="9" xfId="0" applyFont="1" applyBorder="1"/>
    <xf numFmtId="0" fontId="65" fillId="0" borderId="0" xfId="3" applyFont="1" applyFill="1" applyBorder="1" applyAlignment="1" applyProtection="1"/>
    <xf numFmtId="9" fontId="22" fillId="0" borderId="4" xfId="2" applyFont="1" applyFill="1" applyBorder="1" applyAlignment="1">
      <alignment horizontal="right"/>
    </xf>
    <xf numFmtId="0" fontId="26" fillId="0" borderId="4" xfId="0" applyFont="1" applyBorder="1"/>
    <xf numFmtId="0" fontId="62" fillId="0" borderId="4" xfId="0" applyFont="1" applyBorder="1" applyAlignment="1">
      <alignment horizontal="center"/>
    </xf>
    <xf numFmtId="9" fontId="9" fillId="0" borderId="4" xfId="2" applyFont="1" applyFill="1" applyBorder="1" applyAlignment="1">
      <alignment horizontal="right"/>
    </xf>
    <xf numFmtId="169" fontId="6" fillId="0" borderId="4" xfId="2" applyNumberFormat="1" applyFont="1" applyFill="1" applyBorder="1" applyAlignment="1">
      <alignment horizontal="right"/>
    </xf>
    <xf numFmtId="173" fontId="4" fillId="0" borderId="0" xfId="0" applyNumberFormat="1" applyFont="1"/>
    <xf numFmtId="172" fontId="4" fillId="0" borderId="0" xfId="0" applyNumberFormat="1" applyFont="1"/>
    <xf numFmtId="0" fontId="3" fillId="0" borderId="52" xfId="0" applyFont="1" applyBorder="1" applyAlignment="1">
      <alignment horizontal="center"/>
    </xf>
    <xf numFmtId="0" fontId="3" fillId="0" borderId="2" xfId="0" applyFont="1" applyBorder="1" applyAlignment="1">
      <alignment horizontal="center"/>
    </xf>
    <xf numFmtId="0" fontId="3" fillId="0" borderId="49" xfId="0" applyFont="1" applyBorder="1" applyAlignment="1">
      <alignment horizontal="center"/>
    </xf>
    <xf numFmtId="0" fontId="6" fillId="0" borderId="4" xfId="0" applyFont="1" applyBorder="1" applyAlignment="1">
      <alignment wrapText="1"/>
    </xf>
    <xf numFmtId="173" fontId="41" fillId="0" borderId="0" xfId="0" applyNumberFormat="1" applyFont="1" applyAlignment="1">
      <alignment horizontal="center" wrapText="1"/>
    </xf>
    <xf numFmtId="164" fontId="4" fillId="0" borderId="0" xfId="2" applyNumberFormat="1" applyFont="1" applyAlignment="1">
      <alignment horizontal="right"/>
    </xf>
    <xf numFmtId="6" fontId="3" fillId="10" borderId="3" xfId="0" applyNumberFormat="1" applyFont="1" applyFill="1" applyBorder="1" applyAlignment="1">
      <alignment horizontal="center"/>
    </xf>
    <xf numFmtId="0" fontId="45" fillId="0" borderId="0" xfId="0" applyFont="1"/>
    <xf numFmtId="178" fontId="3" fillId="10" borderId="1" xfId="0" applyNumberFormat="1" applyFont="1" applyFill="1" applyBorder="1"/>
    <xf numFmtId="178" fontId="3" fillId="10" borderId="3" xfId="0" applyNumberFormat="1" applyFont="1" applyFill="1" applyBorder="1"/>
    <xf numFmtId="6" fontId="44" fillId="0" borderId="0" xfId="0" applyNumberFormat="1" applyFont="1"/>
    <xf numFmtId="2" fontId="43" fillId="0" borderId="0" xfId="0" applyNumberFormat="1" applyFont="1" applyAlignment="1">
      <alignment horizontal="center"/>
    </xf>
    <xf numFmtId="6" fontId="45" fillId="0" borderId="0" xfId="0" applyNumberFormat="1" applyFont="1"/>
    <xf numFmtId="169" fontId="41" fillId="0" borderId="0" xfId="0" applyNumberFormat="1" applyFont="1" applyAlignment="1">
      <alignment horizontal="right"/>
    </xf>
    <xf numFmtId="6" fontId="0" fillId="0" borderId="0" xfId="0" applyNumberFormat="1"/>
    <xf numFmtId="169" fontId="0" fillId="0" borderId="0" xfId="0" applyNumberFormat="1" applyAlignment="1">
      <alignment horizontal="right"/>
    </xf>
    <xf numFmtId="169" fontId="0" fillId="0" borderId="0" xfId="0" applyNumberFormat="1"/>
    <xf numFmtId="9" fontId="0" fillId="0" borderId="0" xfId="2" applyFont="1"/>
    <xf numFmtId="0" fontId="79" fillId="0" borderId="0" xfId="0" applyFont="1"/>
    <xf numFmtId="169" fontId="79" fillId="0" borderId="0" xfId="0" applyNumberFormat="1" applyFont="1"/>
    <xf numFmtId="169" fontId="80" fillId="0" borderId="0" xfId="0" applyNumberFormat="1" applyFont="1"/>
    <xf numFmtId="9" fontId="78" fillId="0" borderId="0" xfId="2" applyFont="1"/>
    <xf numFmtId="169" fontId="78" fillId="0" borderId="0" xfId="0" applyNumberFormat="1" applyFont="1" applyAlignment="1">
      <alignment horizontal="right"/>
    </xf>
    <xf numFmtId="0" fontId="0" fillId="0" borderId="0" xfId="0" applyAlignment="1">
      <alignment wrapText="1"/>
    </xf>
    <xf numFmtId="3" fontId="0" fillId="0" borderId="0" xfId="0" applyNumberFormat="1"/>
    <xf numFmtId="3" fontId="0" fillId="0" borderId="0" xfId="0" applyNumberFormat="1" applyAlignment="1">
      <alignment wrapText="1"/>
    </xf>
    <xf numFmtId="0" fontId="0" fillId="12" borderId="0" xfId="0" applyFill="1"/>
    <xf numFmtId="9" fontId="79" fillId="0" borderId="0" xfId="2" applyFont="1"/>
    <xf numFmtId="10" fontId="79" fillId="0" borderId="0" xfId="0" applyNumberFormat="1" applyFont="1"/>
    <xf numFmtId="164" fontId="79" fillId="0" borderId="0" xfId="2" applyNumberFormat="1" applyFont="1"/>
    <xf numFmtId="0" fontId="0" fillId="0" borderId="0" xfId="0" quotePrefix="1"/>
    <xf numFmtId="0" fontId="81" fillId="0" borderId="0" xfId="0" applyFont="1"/>
    <xf numFmtId="174" fontId="0" fillId="0" borderId="0" xfId="5" applyNumberFormat="1" applyFont="1"/>
    <xf numFmtId="164" fontId="0" fillId="0" borderId="0" xfId="2" applyNumberFormat="1" applyFont="1"/>
    <xf numFmtId="171" fontId="0" fillId="0" borderId="0" xfId="0" applyNumberFormat="1"/>
    <xf numFmtId="177" fontId="0" fillId="0" borderId="0" xfId="0" applyNumberFormat="1"/>
    <xf numFmtId="0" fontId="0" fillId="0" borderId="0" xfId="0" applyAlignment="1">
      <alignment horizontal="right"/>
    </xf>
    <xf numFmtId="0" fontId="82" fillId="0" borderId="0" xfId="0" applyFont="1"/>
    <xf numFmtId="0" fontId="79" fillId="0" borderId="0" xfId="0" applyFont="1" applyAlignment="1">
      <alignment horizontal="center"/>
    </xf>
    <xf numFmtId="169" fontId="26" fillId="0" borderId="0" xfId="0" applyNumberFormat="1" applyFont="1"/>
    <xf numFmtId="169" fontId="45" fillId="0" borderId="0" xfId="0" applyNumberFormat="1" applyFont="1"/>
    <xf numFmtId="0" fontId="0" fillId="13" borderId="0" xfId="0" applyFill="1" applyAlignment="1">
      <alignment horizontal="right"/>
    </xf>
    <xf numFmtId="14" fontId="0" fillId="13" borderId="0" xfId="0" applyNumberFormat="1" applyFill="1" applyProtection="1">
      <protection locked="0"/>
    </xf>
    <xf numFmtId="0" fontId="0" fillId="13" borderId="0" xfId="0" applyFill="1"/>
    <xf numFmtId="171" fontId="6" fillId="8" borderId="0" xfId="0" applyNumberFormat="1" applyFont="1" applyFill="1"/>
    <xf numFmtId="0" fontId="3" fillId="5" borderId="2" xfId="0" applyFont="1" applyFill="1" applyBorder="1" applyAlignment="1">
      <alignment horizontal="left"/>
    </xf>
    <xf numFmtId="0" fontId="3" fillId="5" borderId="3" xfId="0" applyFont="1" applyFill="1" applyBorder="1" applyAlignment="1">
      <alignment horizontal="left"/>
    </xf>
    <xf numFmtId="10" fontId="79" fillId="0" borderId="0" xfId="2" applyNumberFormat="1" applyFont="1"/>
    <xf numFmtId="10" fontId="0" fillId="0" borderId="0" xfId="2" applyNumberFormat="1" applyFont="1"/>
    <xf numFmtId="181" fontId="0" fillId="0" borderId="0" xfId="0" applyNumberFormat="1"/>
    <xf numFmtId="4" fontId="0" fillId="0" borderId="0" xfId="0" applyNumberFormat="1"/>
    <xf numFmtId="169" fontId="83" fillId="0" borderId="0" xfId="0" applyNumberFormat="1" applyFont="1"/>
    <xf numFmtId="0" fontId="1" fillId="0" borderId="0" xfId="0" applyFont="1"/>
    <xf numFmtId="0" fontId="3" fillId="5" borderId="2" xfId="0" applyFont="1" applyFill="1" applyBorder="1" applyAlignment="1">
      <alignment vertical="center"/>
    </xf>
    <xf numFmtId="0" fontId="3" fillId="5" borderId="10" xfId="0" applyFont="1" applyFill="1" applyBorder="1" applyAlignment="1">
      <alignment vertical="center"/>
    </xf>
    <xf numFmtId="0" fontId="69" fillId="0" borderId="0" xfId="0" applyFont="1"/>
    <xf numFmtId="0" fontId="84" fillId="0" borderId="0" xfId="0" applyFont="1"/>
    <xf numFmtId="0" fontId="85" fillId="0" borderId="4" xfId="0" applyFont="1" applyBorder="1" applyAlignment="1">
      <alignment wrapText="1"/>
    </xf>
    <xf numFmtId="0" fontId="84" fillId="0" borderId="0" xfId="0" applyFont="1" applyAlignment="1">
      <alignment wrapText="1"/>
    </xf>
    <xf numFmtId="0" fontId="85" fillId="0" borderId="0" xfId="0" applyFont="1"/>
    <xf numFmtId="3" fontId="85" fillId="0" borderId="4" xfId="0" applyNumberFormat="1" applyFont="1" applyBorder="1"/>
    <xf numFmtId="3" fontId="84" fillId="0" borderId="0" xfId="0" applyNumberFormat="1" applyFont="1"/>
    <xf numFmtId="9" fontId="85" fillId="0" borderId="0" xfId="0" applyNumberFormat="1" applyFont="1" applyAlignment="1">
      <alignment horizontal="center"/>
    </xf>
    <xf numFmtId="0" fontId="6" fillId="12" borderId="4" xfId="0" applyFont="1" applyFill="1" applyBorder="1"/>
    <xf numFmtId="0" fontId="6" fillId="14" borderId="4" xfId="0" applyFont="1" applyFill="1" applyBorder="1"/>
    <xf numFmtId="0" fontId="20" fillId="0" borderId="10" xfId="0" applyFont="1" applyBorder="1"/>
    <xf numFmtId="0" fontId="57" fillId="0" borderId="0" xfId="0" applyFont="1"/>
    <xf numFmtId="9" fontId="22" fillId="0" borderId="39" xfId="2" applyFont="1" applyFill="1" applyBorder="1" applyAlignment="1">
      <alignment horizontal="center"/>
    </xf>
    <xf numFmtId="0" fontId="45" fillId="0" borderId="0" xfId="0" applyFont="1" applyAlignment="1">
      <alignment wrapText="1"/>
    </xf>
    <xf numFmtId="0" fontId="87" fillId="0" borderId="0" xfId="3" applyFont="1" applyAlignment="1" applyProtection="1">
      <alignment horizontal="center"/>
    </xf>
    <xf numFmtId="6" fontId="79" fillId="0" borderId="0" xfId="0" applyNumberFormat="1" applyFont="1"/>
    <xf numFmtId="6" fontId="83" fillId="0" borderId="0" xfId="0" applyNumberFormat="1" applyFont="1"/>
    <xf numFmtId="169" fontId="83" fillId="0" borderId="0" xfId="0" applyNumberFormat="1" applyFont="1" applyAlignment="1">
      <alignment horizontal="right"/>
    </xf>
    <xf numFmtId="0" fontId="80" fillId="0" borderId="0" xfId="0" applyFont="1"/>
    <xf numFmtId="9" fontId="80" fillId="0" borderId="0" xfId="2" applyFont="1"/>
    <xf numFmtId="0" fontId="0" fillId="0" borderId="0" xfId="0" applyAlignment="1">
      <alignment vertical="center"/>
    </xf>
    <xf numFmtId="0" fontId="0" fillId="0" borderId="0" xfId="0" applyAlignment="1">
      <alignment vertical="center" wrapText="1"/>
    </xf>
    <xf numFmtId="0" fontId="81" fillId="0" borderId="0" xfId="0" applyFont="1" applyAlignment="1">
      <alignment vertical="center"/>
    </xf>
    <xf numFmtId="0" fontId="41" fillId="0" borderId="4" xfId="0" applyFont="1" applyBorder="1" applyAlignment="1">
      <alignment horizontal="center"/>
    </xf>
    <xf numFmtId="164" fontId="80" fillId="0" borderId="0" xfId="2" applyNumberFormat="1" applyFont="1"/>
    <xf numFmtId="164" fontId="0" fillId="0" borderId="0" xfId="0" applyNumberFormat="1"/>
    <xf numFmtId="10" fontId="83" fillId="0" borderId="0" xfId="0" applyNumberFormat="1" applyFont="1"/>
    <xf numFmtId="0" fontId="79" fillId="0" borderId="0" xfId="0" applyFont="1" applyAlignment="1">
      <alignment horizontal="center" wrapText="1"/>
    </xf>
    <xf numFmtId="10" fontId="2" fillId="0" borderId="0" xfId="2" applyNumberFormat="1" applyFont="1" applyFill="1" applyBorder="1" applyAlignment="1">
      <alignment horizontal="right"/>
    </xf>
    <xf numFmtId="0" fontId="89" fillId="0" borderId="0" xfId="0" applyFont="1" applyAlignment="1">
      <alignment horizontal="center"/>
    </xf>
    <xf numFmtId="10" fontId="0" fillId="0" borderId="0" xfId="2" applyNumberFormat="1" applyFont="1" applyFill="1" applyBorder="1" applyAlignment="1">
      <alignment horizontal="right"/>
    </xf>
    <xf numFmtId="0" fontId="79" fillId="0" borderId="0" xfId="0" applyFont="1" applyAlignment="1">
      <alignment horizontal="right"/>
    </xf>
    <xf numFmtId="164" fontId="79" fillId="0" borderId="0" xfId="0" applyNumberFormat="1" applyFont="1"/>
    <xf numFmtId="3" fontId="1" fillId="0" borderId="4" xfId="0" applyNumberFormat="1" applyFont="1" applyBorder="1"/>
    <xf numFmtId="9" fontId="22" fillId="6" borderId="39" xfId="2" applyFont="1" applyFill="1" applyBorder="1" applyAlignment="1" applyProtection="1">
      <alignment horizontal="center"/>
      <protection locked="0"/>
    </xf>
    <xf numFmtId="9" fontId="1" fillId="12" borderId="4" xfId="2" applyFont="1" applyFill="1" applyBorder="1" applyProtection="1">
      <protection locked="0"/>
    </xf>
    <xf numFmtId="10" fontId="0" fillId="0" borderId="0" xfId="0" applyNumberFormat="1"/>
    <xf numFmtId="174" fontId="6" fillId="0" borderId="0" xfId="0" applyNumberFormat="1" applyFont="1"/>
    <xf numFmtId="174" fontId="26" fillId="0" borderId="39" xfId="5" applyNumberFormat="1" applyFont="1" applyFill="1" applyBorder="1" applyAlignment="1">
      <alignment horizontal="right"/>
    </xf>
    <xf numFmtId="0" fontId="6" fillId="0" borderId="4" xfId="0" applyFont="1" applyBorder="1" applyAlignment="1">
      <alignment horizontal="center"/>
    </xf>
    <xf numFmtId="3" fontId="0" fillId="0" borderId="0" xfId="0" applyNumberFormat="1" applyAlignment="1">
      <alignment vertical="center"/>
    </xf>
    <xf numFmtId="169" fontId="88" fillId="0" borderId="0" xfId="0" applyNumberFormat="1" applyFont="1" applyAlignment="1">
      <alignment vertical="center"/>
    </xf>
    <xf numFmtId="169" fontId="0" fillId="0" borderId="0" xfId="0" applyNumberFormat="1" applyAlignment="1">
      <alignment vertical="center"/>
    </xf>
    <xf numFmtId="7" fontId="0" fillId="0" borderId="0" xfId="0" applyNumberFormat="1"/>
    <xf numFmtId="0" fontId="90" fillId="0" borderId="0" xfId="6" applyFont="1"/>
    <xf numFmtId="0" fontId="91" fillId="0" borderId="0" xfId="6" applyFont="1"/>
    <xf numFmtId="0" fontId="92" fillId="0" borderId="0" xfId="0" applyFont="1"/>
    <xf numFmtId="0" fontId="93" fillId="0" borderId="19" xfId="6" applyFont="1" applyBorder="1"/>
    <xf numFmtId="0" fontId="91" fillId="0" borderId="20" xfId="6" applyFont="1" applyBorder="1"/>
    <xf numFmtId="0" fontId="91" fillId="0" borderId="11" xfId="6" applyFont="1" applyBorder="1"/>
    <xf numFmtId="2" fontId="94" fillId="0" borderId="17" xfId="0" applyNumberFormat="1" applyFont="1" applyBorder="1" applyAlignment="1">
      <alignment horizontal="right"/>
    </xf>
    <xf numFmtId="2" fontId="94" fillId="8" borderId="18" xfId="0" applyNumberFormat="1" applyFont="1" applyFill="1" applyBorder="1" applyAlignment="1" applyProtection="1">
      <alignment horizontal="right"/>
      <protection locked="0"/>
    </xf>
    <xf numFmtId="2" fontId="92" fillId="0" borderId="0" xfId="0" applyNumberFormat="1" applyFont="1" applyAlignment="1">
      <alignment horizontal="left"/>
    </xf>
    <xf numFmtId="2" fontId="92" fillId="0" borderId="0" xfId="0" applyNumberFormat="1" applyFont="1" applyAlignment="1">
      <alignment horizontal="center"/>
    </xf>
    <xf numFmtId="2" fontId="92" fillId="0" borderId="18" xfId="0" applyNumberFormat="1" applyFont="1" applyBorder="1" applyAlignment="1">
      <alignment horizontal="center"/>
    </xf>
    <xf numFmtId="177" fontId="94" fillId="0" borderId="0" xfId="0" applyNumberFormat="1" applyFont="1" applyAlignment="1">
      <alignment horizontal="right"/>
    </xf>
    <xf numFmtId="1" fontId="94" fillId="8" borderId="18" xfId="0" applyNumberFormat="1" applyFont="1" applyFill="1" applyBorder="1" applyAlignment="1" applyProtection="1">
      <alignment horizontal="right"/>
      <protection locked="0"/>
    </xf>
    <xf numFmtId="2" fontId="94" fillId="0" borderId="15" xfId="0" applyNumberFormat="1" applyFont="1" applyBorder="1" applyAlignment="1">
      <alignment horizontal="right"/>
    </xf>
    <xf numFmtId="2" fontId="94" fillId="8" borderId="16" xfId="0" applyNumberFormat="1" applyFont="1" applyFill="1" applyBorder="1" applyAlignment="1">
      <alignment horizontal="right"/>
    </xf>
    <xf numFmtId="2" fontId="92" fillId="0" borderId="9" xfId="0" applyNumberFormat="1" applyFont="1" applyBorder="1" applyAlignment="1">
      <alignment horizontal="center"/>
    </xf>
    <xf numFmtId="2" fontId="92" fillId="0" borderId="16" xfId="0" applyNumberFormat="1" applyFont="1" applyBorder="1" applyAlignment="1">
      <alignment horizontal="center"/>
    </xf>
    <xf numFmtId="2" fontId="94" fillId="0" borderId="0" xfId="0" applyNumberFormat="1" applyFont="1" applyAlignment="1">
      <alignment horizontal="right"/>
    </xf>
    <xf numFmtId="0" fontId="93" fillId="15" borderId="19" xfId="6" applyFont="1" applyFill="1" applyBorder="1"/>
    <xf numFmtId="0" fontId="93" fillId="15" borderId="0" xfId="6" applyFont="1" applyFill="1"/>
    <xf numFmtId="2" fontId="92" fillId="0" borderId="0" xfId="0" applyNumberFormat="1" applyFont="1"/>
    <xf numFmtId="2" fontId="95" fillId="0" borderId="0" xfId="0" applyNumberFormat="1" applyFont="1" applyAlignment="1">
      <alignment horizontal="center" wrapText="1"/>
    </xf>
    <xf numFmtId="2" fontId="95" fillId="0" borderId="0" xfId="0" applyNumberFormat="1" applyFont="1" applyAlignment="1">
      <alignment horizontal="center"/>
    </xf>
    <xf numFmtId="171" fontId="92" fillId="0" borderId="0" xfId="0" applyNumberFormat="1" applyFont="1" applyAlignment="1">
      <alignment horizontal="center"/>
    </xf>
    <xf numFmtId="171" fontId="95" fillId="5" borderId="0" xfId="0" applyNumberFormat="1" applyFont="1" applyFill="1" applyAlignment="1">
      <alignment horizontal="center" vertical="center" textRotation="90"/>
    </xf>
    <xf numFmtId="171" fontId="95" fillId="0" borderId="0" xfId="0" applyNumberFormat="1" applyFont="1" applyAlignment="1">
      <alignment horizontal="center"/>
    </xf>
    <xf numFmtId="2" fontId="92" fillId="0" borderId="0" xfId="0" applyNumberFormat="1" applyFont="1" applyAlignment="1" applyProtection="1">
      <alignment horizontal="left"/>
      <protection locked="0"/>
    </xf>
    <xf numFmtId="171" fontId="92" fillId="0" borderId="0" xfId="0" applyNumberFormat="1" applyFont="1" applyAlignment="1" applyProtection="1">
      <alignment horizontal="center"/>
      <protection locked="0"/>
    </xf>
    <xf numFmtId="2" fontId="92" fillId="0" borderId="0" xfId="0" applyNumberFormat="1" applyFont="1" applyAlignment="1">
      <alignment horizontal="left" indent="5"/>
    </xf>
    <xf numFmtId="171" fontId="92" fillId="6" borderId="62" xfId="0" applyNumberFormat="1" applyFont="1" applyFill="1" applyBorder="1" applyAlignment="1" applyProtection="1">
      <alignment horizontal="center"/>
      <protection locked="0"/>
    </xf>
    <xf numFmtId="2" fontId="92" fillId="6" borderId="62" xfId="0" applyNumberFormat="1" applyFont="1" applyFill="1" applyBorder="1" applyAlignment="1" applyProtection="1">
      <alignment horizontal="center"/>
      <protection locked="0"/>
    </xf>
    <xf numFmtId="2" fontId="94" fillId="0" borderId="0" xfId="0" applyNumberFormat="1" applyFont="1" applyAlignment="1">
      <alignment horizontal="left" indent="5"/>
    </xf>
    <xf numFmtId="171" fontId="94" fillId="6" borderId="62" xfId="0" applyNumberFormat="1" applyFont="1" applyFill="1" applyBorder="1" applyAlignment="1" applyProtection="1">
      <alignment horizontal="center"/>
      <protection locked="0"/>
    </xf>
    <xf numFmtId="171" fontId="94" fillId="0" borderId="0" xfId="0" applyNumberFormat="1" applyFont="1" applyAlignment="1">
      <alignment horizontal="center"/>
    </xf>
    <xf numFmtId="171" fontId="92" fillId="0" borderId="63" xfId="0" applyNumberFormat="1" applyFont="1" applyBorder="1" applyAlignment="1">
      <alignment horizontal="center"/>
    </xf>
    <xf numFmtId="171" fontId="94" fillId="0" borderId="0" xfId="0" applyNumberFormat="1" applyFont="1" applyAlignment="1" applyProtection="1">
      <alignment horizontal="center"/>
      <protection locked="0"/>
    </xf>
    <xf numFmtId="171" fontId="95" fillId="0" borderId="0" xfId="0" applyNumberFormat="1" applyFont="1" applyAlignment="1" applyProtection="1">
      <alignment horizontal="center"/>
      <protection locked="0"/>
    </xf>
    <xf numFmtId="2" fontId="95" fillId="0" borderId="0" xfId="0" applyNumberFormat="1" applyFont="1" applyAlignment="1" applyProtection="1">
      <alignment horizontal="left"/>
      <protection locked="0"/>
    </xf>
    <xf numFmtId="2" fontId="94" fillId="6" borderId="62" xfId="0" applyNumberFormat="1" applyFont="1" applyFill="1" applyBorder="1" applyAlignment="1" applyProtection="1">
      <alignment horizontal="center"/>
      <protection locked="0"/>
    </xf>
    <xf numFmtId="2" fontId="94" fillId="0" borderId="0" xfId="0" applyNumberFormat="1" applyFont="1"/>
    <xf numFmtId="2" fontId="92" fillId="0" borderId="0" xfId="0" applyNumberFormat="1" applyFont="1" applyAlignment="1" applyProtection="1">
      <alignment horizontal="center"/>
      <protection locked="0"/>
    </xf>
    <xf numFmtId="2" fontId="95" fillId="0" borderId="0" xfId="0" applyNumberFormat="1" applyFont="1" applyAlignment="1" applyProtection="1">
      <alignment horizontal="center"/>
      <protection locked="0"/>
    </xf>
    <xf numFmtId="2" fontId="94" fillId="0" borderId="0" xfId="0" applyNumberFormat="1" applyFont="1" applyAlignment="1">
      <alignment horizontal="left" indent="8"/>
    </xf>
    <xf numFmtId="2" fontId="94" fillId="0" borderId="0" xfId="0" applyNumberFormat="1" applyFont="1" applyAlignment="1" applyProtection="1">
      <alignment horizontal="center"/>
      <protection locked="0"/>
    </xf>
    <xf numFmtId="2" fontId="94" fillId="0" borderId="64" xfId="0" applyNumberFormat="1" applyFont="1" applyBorder="1" applyAlignment="1" applyProtection="1">
      <alignment horizontal="center"/>
      <protection locked="0"/>
    </xf>
    <xf numFmtId="2" fontId="95" fillId="0" borderId="0" xfId="0" applyNumberFormat="1" applyFont="1"/>
    <xf numFmtId="9" fontId="92" fillId="6" borderId="62" xfId="2" applyFont="1" applyFill="1" applyBorder="1" applyAlignment="1" applyProtection="1">
      <alignment horizontal="center"/>
      <protection locked="0"/>
    </xf>
    <xf numFmtId="9" fontId="92" fillId="0" borderId="0" xfId="2" applyFont="1" applyFill="1" applyAlignment="1" applyProtection="1">
      <alignment horizontal="center"/>
    </xf>
    <xf numFmtId="171" fontId="93" fillId="0" borderId="0" xfId="1" applyNumberFormat="1" applyFont="1" applyFill="1" applyBorder="1" applyAlignment="1" applyProtection="1">
      <alignment horizontal="center"/>
    </xf>
    <xf numFmtId="2" fontId="94" fillId="0" borderId="0" xfId="0" applyNumberFormat="1" applyFont="1" applyAlignment="1">
      <alignment horizontal="center"/>
    </xf>
    <xf numFmtId="2" fontId="96" fillId="0" borderId="0" xfId="0" applyNumberFormat="1" applyFont="1" applyAlignment="1">
      <alignment horizontal="left"/>
    </xf>
    <xf numFmtId="2" fontId="94" fillId="0" borderId="0" xfId="0" applyNumberFormat="1" applyFont="1" applyAlignment="1">
      <alignment horizontal="left"/>
    </xf>
    <xf numFmtId="2" fontId="93" fillId="0" borderId="0" xfId="0" applyNumberFormat="1" applyFont="1"/>
    <xf numFmtId="2" fontId="93" fillId="0" borderId="0" xfId="0" applyNumberFormat="1" applyFont="1" applyAlignment="1">
      <alignment horizontal="center"/>
    </xf>
    <xf numFmtId="2" fontId="94" fillId="8" borderId="62" xfId="0" applyNumberFormat="1" applyFont="1" applyFill="1" applyBorder="1" applyAlignment="1" applyProtection="1">
      <alignment horizontal="center"/>
      <protection locked="0"/>
    </xf>
    <xf numFmtId="2" fontId="94" fillId="0" borderId="0" xfId="6" applyNumberFormat="1" applyFont="1"/>
    <xf numFmtId="2" fontId="93" fillId="0" borderId="0" xfId="6" applyNumberFormat="1" applyFont="1"/>
    <xf numFmtId="171" fontId="93" fillId="0" borderId="0" xfId="6" applyNumberFormat="1" applyFont="1" applyAlignment="1">
      <alignment horizontal="center"/>
    </xf>
    <xf numFmtId="171" fontId="95" fillId="0" borderId="11" xfId="0" applyNumberFormat="1" applyFont="1" applyBorder="1" applyAlignment="1">
      <alignment horizontal="center"/>
    </xf>
    <xf numFmtId="2" fontId="95" fillId="0" borderId="0" xfId="0" applyNumberFormat="1" applyFont="1" applyAlignment="1">
      <alignment horizontal="left"/>
    </xf>
    <xf numFmtId="2" fontId="93" fillId="0" borderId="0" xfId="0" applyNumberFormat="1" applyFont="1" applyAlignment="1">
      <alignment horizontal="left"/>
    </xf>
    <xf numFmtId="0" fontId="94" fillId="0" borderId="0" xfId="6" applyFont="1"/>
    <xf numFmtId="0" fontId="94" fillId="0" borderId="65" xfId="6" applyFont="1" applyBorder="1"/>
    <xf numFmtId="2" fontId="92" fillId="0" borderId="65" xfId="0" applyNumberFormat="1" applyFont="1" applyBorder="1" applyAlignment="1">
      <alignment horizontal="center"/>
    </xf>
    <xf numFmtId="2" fontId="95" fillId="5" borderId="0" xfId="0" applyNumberFormat="1" applyFont="1" applyFill="1"/>
    <xf numFmtId="2" fontId="92" fillId="5" borderId="0" xfId="0" applyNumberFormat="1" applyFont="1" applyFill="1" applyAlignment="1">
      <alignment horizontal="center"/>
    </xf>
    <xf numFmtId="2" fontId="92" fillId="5" borderId="0" xfId="0" applyNumberFormat="1" applyFont="1" applyFill="1" applyAlignment="1">
      <alignment horizontal="left"/>
    </xf>
    <xf numFmtId="171" fontId="95" fillId="5" borderId="0" xfId="0" applyNumberFormat="1" applyFont="1" applyFill="1" applyAlignment="1">
      <alignment horizontal="center"/>
    </xf>
    <xf numFmtId="2" fontId="94" fillId="0" borderId="19" xfId="0" applyNumberFormat="1" applyFont="1" applyBorder="1"/>
    <xf numFmtId="2" fontId="94" fillId="0" borderId="11" xfId="0" applyNumberFormat="1" applyFont="1" applyBorder="1"/>
    <xf numFmtId="2" fontId="94" fillId="0" borderId="11" xfId="0" applyNumberFormat="1" applyFont="1" applyBorder="1" applyAlignment="1">
      <alignment horizontal="center"/>
    </xf>
    <xf numFmtId="2" fontId="92" fillId="0" borderId="11" xfId="0" applyNumberFormat="1" applyFont="1" applyBorder="1" applyAlignment="1">
      <alignment horizontal="left"/>
    </xf>
    <xf numFmtId="171" fontId="93" fillId="0" borderId="20" xfId="1" applyNumberFormat="1" applyFont="1" applyFill="1" applyBorder="1" applyAlignment="1" applyProtection="1">
      <alignment horizontal="center"/>
    </xf>
    <xf numFmtId="2" fontId="94" fillId="0" borderId="17" xfId="0" applyNumberFormat="1" applyFont="1" applyBorder="1" applyAlignment="1">
      <alignment horizontal="left" indent="5"/>
    </xf>
    <xf numFmtId="9" fontId="94" fillId="0" borderId="0" xfId="2" applyFont="1" applyFill="1" applyBorder="1" applyAlignment="1" applyProtection="1">
      <alignment horizontal="center"/>
    </xf>
    <xf numFmtId="1" fontId="94" fillId="0" borderId="0" xfId="2" applyNumberFormat="1" applyFont="1" applyFill="1" applyBorder="1" applyAlignment="1" applyProtection="1">
      <alignment horizontal="center"/>
    </xf>
    <xf numFmtId="2" fontId="94" fillId="0" borderId="18" xfId="0" applyNumberFormat="1" applyFont="1" applyBorder="1" applyAlignment="1">
      <alignment horizontal="center"/>
    </xf>
    <xf numFmtId="2" fontId="94" fillId="0" borderId="15" xfId="0" applyNumberFormat="1" applyFont="1" applyBorder="1" applyAlignment="1">
      <alignment horizontal="left"/>
    </xf>
    <xf numFmtId="2" fontId="94" fillId="0" borderId="9" xfId="0" applyNumberFormat="1" applyFont="1" applyBorder="1" applyAlignment="1">
      <alignment horizontal="right"/>
    </xf>
    <xf numFmtId="2" fontId="94" fillId="0" borderId="9" xfId="0" applyNumberFormat="1" applyFont="1" applyBorder="1" applyAlignment="1">
      <alignment horizontal="center"/>
    </xf>
    <xf numFmtId="2" fontId="94" fillId="0" borderId="9" xfId="0" applyNumberFormat="1" applyFont="1" applyBorder="1" applyAlignment="1">
      <alignment horizontal="left"/>
    </xf>
    <xf numFmtId="171" fontId="93" fillId="0" borderId="16" xfId="1" applyNumberFormat="1" applyFont="1" applyFill="1" applyBorder="1" applyAlignment="1" applyProtection="1">
      <alignment horizontal="center"/>
    </xf>
    <xf numFmtId="0" fontId="0" fillId="0" borderId="0" xfId="0" applyAlignment="1">
      <alignment horizontal="left"/>
    </xf>
    <xf numFmtId="169" fontId="0" fillId="0" borderId="0" xfId="0" applyNumberFormat="1" applyAlignment="1">
      <alignment wrapText="1"/>
    </xf>
    <xf numFmtId="0" fontId="97" fillId="0" borderId="0" xfId="0" applyFont="1"/>
    <xf numFmtId="3" fontId="26" fillId="0" borderId="41" xfId="0" applyNumberFormat="1" applyFont="1" applyBorder="1" applyAlignment="1">
      <alignment horizontal="right"/>
    </xf>
    <xf numFmtId="2" fontId="0" fillId="14" borderId="0" xfId="0" applyNumberFormat="1" applyFill="1"/>
    <xf numFmtId="0" fontId="0" fillId="0" borderId="0" xfId="0" applyAlignment="1">
      <alignment horizontal="left" indent="2"/>
    </xf>
    <xf numFmtId="0" fontId="0" fillId="0" borderId="0" xfId="0" applyAlignment="1">
      <alignment horizontal="left" indent="4"/>
    </xf>
    <xf numFmtId="0" fontId="0" fillId="0" borderId="0" xfId="0" applyAlignment="1">
      <alignment horizontal="left" indent="3"/>
    </xf>
    <xf numFmtId="0" fontId="79" fillId="0" borderId="0" xfId="0" applyFont="1" applyAlignment="1">
      <alignment horizontal="left" indent="3"/>
    </xf>
    <xf numFmtId="0" fontId="0" fillId="12" borderId="4" xfId="0" applyFill="1" applyBorder="1" applyAlignment="1" applyProtection="1">
      <alignment horizontal="center" wrapText="1"/>
      <protection locked="0"/>
    </xf>
    <xf numFmtId="3" fontId="0" fillId="12" borderId="4" xfId="1" applyNumberFormat="1" applyFont="1" applyFill="1" applyBorder="1" applyAlignment="1" applyProtection="1">
      <alignment horizontal="right" indent="2"/>
      <protection locked="0"/>
    </xf>
    <xf numFmtId="3" fontId="0" fillId="12" borderId="4" xfId="0" applyNumberFormat="1" applyFill="1" applyBorder="1" applyAlignment="1" applyProtection="1">
      <alignment horizontal="right" indent="2"/>
      <protection locked="0"/>
    </xf>
    <xf numFmtId="4" fontId="0" fillId="12" borderId="4" xfId="0" applyNumberFormat="1" applyFill="1" applyBorder="1" applyAlignment="1" applyProtection="1">
      <alignment horizontal="right" indent="2"/>
      <protection locked="0"/>
    </xf>
    <xf numFmtId="3" fontId="0" fillId="12" borderId="4" xfId="5" applyNumberFormat="1" applyFont="1" applyFill="1" applyBorder="1" applyAlignment="1" applyProtection="1">
      <alignment horizontal="right" indent="2"/>
      <protection locked="0"/>
    </xf>
    <xf numFmtId="164" fontId="94" fillId="0" borderId="62" xfId="2" applyNumberFormat="1" applyFont="1" applyFill="1" applyBorder="1" applyAlignment="1" applyProtection="1">
      <alignment horizontal="center"/>
      <protection locked="0"/>
    </xf>
    <xf numFmtId="2" fontId="0" fillId="12" borderId="4" xfId="0" applyNumberFormat="1" applyFill="1" applyBorder="1" applyAlignment="1">
      <alignment horizontal="right" indent="2"/>
    </xf>
    <xf numFmtId="1" fontId="0" fillId="12" borderId="4" xfId="0" applyNumberFormat="1" applyFill="1" applyBorder="1" applyAlignment="1">
      <alignment horizontal="right" indent="2"/>
    </xf>
    <xf numFmtId="0" fontId="0" fillId="0" borderId="0" xfId="0" applyAlignment="1">
      <alignment horizontal="center"/>
    </xf>
    <xf numFmtId="1" fontId="0" fillId="12" borderId="4" xfId="0" applyNumberFormat="1" applyFill="1" applyBorder="1" applyAlignment="1">
      <alignment horizontal="center"/>
    </xf>
    <xf numFmtId="0" fontId="98" fillId="0" borderId="0" xfId="0" applyFont="1"/>
    <xf numFmtId="177" fontId="0" fillId="0" borderId="0" xfId="0" applyNumberFormat="1" applyAlignment="1">
      <alignment wrapText="1"/>
    </xf>
    <xf numFmtId="171" fontId="78" fillId="0" borderId="0" xfId="1" applyNumberFormat="1" applyFont="1" applyFill="1" applyBorder="1" applyAlignment="1">
      <alignment horizontal="center"/>
    </xf>
    <xf numFmtId="169" fontId="2" fillId="0" borderId="0" xfId="1" applyNumberFormat="1" applyFont="1" applyFill="1" applyBorder="1" applyAlignment="1">
      <alignment horizontal="right"/>
    </xf>
    <xf numFmtId="177" fontId="2" fillId="0" borderId="0" xfId="1" applyNumberFormat="1" applyFont="1" applyFill="1" applyBorder="1" applyAlignment="1">
      <alignment horizontal="right"/>
    </xf>
    <xf numFmtId="171" fontId="2" fillId="0" borderId="0" xfId="1" applyNumberFormat="1" applyFont="1" applyFill="1" applyBorder="1" applyAlignment="1">
      <alignment horizontal="right"/>
    </xf>
    <xf numFmtId="177" fontId="6" fillId="0" borderId="0" xfId="0" applyNumberFormat="1" applyFont="1"/>
    <xf numFmtId="9" fontId="0" fillId="0" borderId="0" xfId="0" applyNumberFormat="1"/>
    <xf numFmtId="169" fontId="26" fillId="0" borderId="4" xfId="0" applyNumberFormat="1" applyFont="1" applyBorder="1"/>
    <xf numFmtId="0" fontId="84" fillId="0" borderId="0" xfId="0" applyFont="1" applyAlignment="1">
      <alignment horizontal="right"/>
    </xf>
    <xf numFmtId="3" fontId="6" fillId="8" borderId="0" xfId="0" applyNumberFormat="1" applyFont="1" applyFill="1"/>
    <xf numFmtId="164" fontId="26" fillId="0" borderId="41" xfId="2" applyNumberFormat="1" applyFont="1" applyFill="1" applyBorder="1" applyAlignment="1">
      <alignment horizontal="right"/>
    </xf>
    <xf numFmtId="9" fontId="26" fillId="0" borderId="39" xfId="2" applyFont="1" applyFill="1" applyBorder="1" applyAlignment="1">
      <alignment horizontal="right"/>
    </xf>
    <xf numFmtId="1" fontId="26" fillId="0" borderId="32" xfId="0" applyNumberFormat="1" applyFont="1" applyBorder="1" applyAlignment="1">
      <alignment horizontal="right"/>
    </xf>
    <xf numFmtId="10" fontId="26" fillId="0" borderId="32" xfId="2" applyNumberFormat="1" applyFont="1" applyFill="1" applyBorder="1" applyAlignment="1">
      <alignment horizontal="right"/>
    </xf>
    <xf numFmtId="1" fontId="26" fillId="0" borderId="39" xfId="0" applyNumberFormat="1" applyFont="1" applyBorder="1" applyAlignment="1">
      <alignment horizontal="right"/>
    </xf>
    <xf numFmtId="169" fontId="26" fillId="0" borderId="44" xfId="0" applyNumberFormat="1" applyFont="1" applyBorder="1" applyAlignment="1">
      <alignment horizontal="right"/>
    </xf>
    <xf numFmtId="0" fontId="22" fillId="12" borderId="39" xfId="0" applyFont="1" applyFill="1" applyBorder="1" applyAlignment="1">
      <alignment horizontal="right"/>
    </xf>
    <xf numFmtId="164" fontId="22" fillId="12" borderId="32" xfId="2" applyNumberFormat="1" applyFont="1" applyFill="1" applyBorder="1" applyAlignment="1">
      <alignment horizontal="right"/>
    </xf>
    <xf numFmtId="10" fontId="26" fillId="0" borderId="44" xfId="2" applyNumberFormat="1" applyFont="1" applyFill="1" applyBorder="1" applyAlignment="1">
      <alignment horizontal="right"/>
    </xf>
    <xf numFmtId="164" fontId="26" fillId="0" borderId="4" xfId="2" applyNumberFormat="1" applyFont="1" applyFill="1" applyBorder="1"/>
    <xf numFmtId="6" fontId="26" fillId="0" borderId="39" xfId="0" applyNumberFormat="1" applyFont="1" applyBorder="1" applyAlignment="1">
      <alignment horizontal="right"/>
    </xf>
    <xf numFmtId="171" fontId="1" fillId="0" borderId="4" xfId="0" applyNumberFormat="1" applyFont="1" applyBorder="1" applyProtection="1">
      <protection locked="0"/>
    </xf>
    <xf numFmtId="169" fontId="1" fillId="0" borderId="4" xfId="0" applyNumberFormat="1" applyFont="1" applyBorder="1" applyProtection="1">
      <protection locked="0"/>
    </xf>
    <xf numFmtId="180" fontId="99" fillId="0" borderId="4" xfId="0" applyNumberFormat="1" applyFont="1" applyBorder="1" applyProtection="1">
      <protection locked="0"/>
    </xf>
    <xf numFmtId="0" fontId="3" fillId="5" borderId="23" xfId="0" applyFont="1" applyFill="1" applyBorder="1" applyAlignment="1">
      <alignment horizontal="left"/>
    </xf>
    <xf numFmtId="0" fontId="26" fillId="0" borderId="4" xfId="0" applyFont="1" applyBorder="1" applyAlignment="1">
      <alignment horizontal="center"/>
    </xf>
    <xf numFmtId="9" fontId="22" fillId="12" borderId="4" xfId="0" applyNumberFormat="1" applyFont="1" applyFill="1" applyBorder="1" applyProtection="1">
      <protection locked="0"/>
    </xf>
    <xf numFmtId="3" fontId="22" fillId="12" borderId="4" xfId="0" applyNumberFormat="1" applyFont="1" applyFill="1" applyBorder="1" applyProtection="1">
      <protection locked="0"/>
    </xf>
    <xf numFmtId="164" fontId="22" fillId="12" borderId="4" xfId="2" applyNumberFormat="1" applyFont="1" applyFill="1" applyBorder="1" applyProtection="1">
      <protection locked="0"/>
    </xf>
    <xf numFmtId="4" fontId="22" fillId="12" borderId="4" xfId="0" applyNumberFormat="1" applyFont="1" applyFill="1" applyBorder="1" applyProtection="1">
      <protection locked="0"/>
    </xf>
    <xf numFmtId="0" fontId="22" fillId="6" borderId="58" xfId="0" applyFont="1" applyFill="1" applyBorder="1" applyAlignment="1" applyProtection="1">
      <alignment horizontal="center"/>
      <protection locked="0"/>
    </xf>
    <xf numFmtId="0" fontId="22" fillId="6" borderId="41" xfId="0" applyFont="1" applyFill="1" applyBorder="1" applyAlignment="1" applyProtection="1">
      <alignment horizontal="center"/>
      <protection locked="0"/>
    </xf>
    <xf numFmtId="173" fontId="22" fillId="12" borderId="32" xfId="0" applyNumberFormat="1" applyFont="1" applyFill="1" applyBorder="1" applyAlignment="1" applyProtection="1">
      <alignment horizontal="right"/>
      <protection locked="0"/>
    </xf>
    <xf numFmtId="1" fontId="22" fillId="12" borderId="32" xfId="0" applyNumberFormat="1" applyFont="1" applyFill="1" applyBorder="1" applyAlignment="1" applyProtection="1">
      <alignment horizontal="right"/>
      <protection locked="0"/>
    </xf>
    <xf numFmtId="169" fontId="22" fillId="12" borderId="32" xfId="0" applyNumberFormat="1" applyFont="1" applyFill="1" applyBorder="1" applyAlignment="1" applyProtection="1">
      <alignment horizontal="right"/>
      <protection locked="0"/>
    </xf>
    <xf numFmtId="0" fontId="22" fillId="6" borderId="32" xfId="0" applyFont="1" applyFill="1" applyBorder="1" applyAlignment="1" applyProtection="1">
      <alignment horizontal="center"/>
      <protection locked="0"/>
    </xf>
    <xf numFmtId="179" fontId="22" fillId="12" borderId="4" xfId="0" applyNumberFormat="1" applyFont="1" applyFill="1" applyBorder="1" applyAlignment="1" applyProtection="1">
      <alignment horizontal="right"/>
      <protection locked="0"/>
    </xf>
    <xf numFmtId="9" fontId="9" fillId="12" borderId="4" xfId="2" applyFont="1" applyFill="1" applyBorder="1" applyAlignment="1" applyProtection="1">
      <alignment horizontal="right"/>
      <protection locked="0"/>
    </xf>
    <xf numFmtId="6" fontId="22" fillId="12" borderId="58" xfId="0" applyNumberFormat="1" applyFont="1" applyFill="1" applyBorder="1" applyAlignment="1" applyProtection="1">
      <alignment horizontal="right"/>
      <protection locked="0"/>
    </xf>
    <xf numFmtId="6" fontId="22" fillId="12" borderId="32" xfId="0" applyNumberFormat="1" applyFont="1" applyFill="1" applyBorder="1" applyAlignment="1" applyProtection="1">
      <alignment horizontal="right"/>
      <protection locked="0"/>
    </xf>
    <xf numFmtId="9" fontId="22" fillId="6" borderId="44" xfId="2" applyFont="1" applyFill="1" applyBorder="1" applyAlignment="1" applyProtection="1">
      <alignment horizontal="center"/>
      <protection locked="0"/>
    </xf>
    <xf numFmtId="164" fontId="22" fillId="12" borderId="36" xfId="2" applyNumberFormat="1" applyFont="1" applyFill="1" applyBorder="1" applyAlignment="1" applyProtection="1">
      <alignment horizontal="right"/>
      <protection locked="0"/>
    </xf>
    <xf numFmtId="10" fontId="22" fillId="12" borderId="36" xfId="2" applyNumberFormat="1" applyFont="1" applyFill="1" applyBorder="1" applyAlignment="1" applyProtection="1">
      <alignment horizontal="right"/>
      <protection locked="0"/>
    </xf>
    <xf numFmtId="0" fontId="22" fillId="12" borderId="32" xfId="0" applyFont="1" applyFill="1" applyBorder="1" applyAlignment="1" applyProtection="1">
      <alignment horizontal="right"/>
      <protection locked="0"/>
    </xf>
    <xf numFmtId="164" fontId="22" fillId="12" borderId="31" xfId="0" applyNumberFormat="1" applyFont="1" applyFill="1" applyBorder="1" applyAlignment="1" applyProtection="1">
      <alignment horizontal="right"/>
      <protection locked="0"/>
    </xf>
    <xf numFmtId="9" fontId="22" fillId="6" borderId="31" xfId="2" applyFont="1" applyFill="1" applyBorder="1" applyAlignment="1" applyProtection="1">
      <alignment horizontal="center"/>
      <protection locked="0"/>
    </xf>
    <xf numFmtId="164" fontId="22" fillId="14" borderId="39" xfId="2" applyNumberFormat="1" applyFont="1" applyFill="1" applyBorder="1" applyAlignment="1" applyProtection="1">
      <alignment horizontal="right"/>
      <protection locked="0"/>
    </xf>
    <xf numFmtId="1" fontId="22" fillId="12" borderId="4" xfId="2" applyNumberFormat="1" applyFont="1" applyFill="1" applyBorder="1" applyProtection="1">
      <protection locked="0"/>
    </xf>
    <xf numFmtId="169" fontId="100" fillId="0" borderId="0" xfId="0" applyNumberFormat="1" applyFont="1"/>
    <xf numFmtId="174" fontId="6" fillId="0" borderId="4" xfId="0" applyNumberFormat="1" applyFont="1" applyBorder="1"/>
    <xf numFmtId="177" fontId="26" fillId="0" borderId="39" xfId="0" applyNumberFormat="1" applyFont="1" applyBorder="1" applyAlignment="1">
      <alignment horizontal="right"/>
    </xf>
    <xf numFmtId="0" fontId="101" fillId="0" borderId="0" xfId="0" applyFont="1"/>
    <xf numFmtId="0" fontId="44" fillId="5" borderId="50" xfId="0" applyFont="1" applyFill="1" applyBorder="1" applyAlignment="1">
      <alignment vertical="center"/>
    </xf>
    <xf numFmtId="0" fontId="102" fillId="0" borderId="0" xfId="0" applyFont="1"/>
    <xf numFmtId="0" fontId="45" fillId="12" borderId="4" xfId="0" applyFont="1" applyFill="1" applyBorder="1"/>
    <xf numFmtId="0" fontId="103" fillId="0" borderId="0" xfId="0" applyFont="1" applyAlignment="1">
      <alignment horizontal="center"/>
    </xf>
    <xf numFmtId="3" fontId="44" fillId="5" borderId="4" xfId="0" applyNumberFormat="1" applyFont="1" applyFill="1" applyBorder="1" applyAlignment="1">
      <alignment horizontal="center"/>
    </xf>
    <xf numFmtId="0" fontId="103" fillId="0" borderId="0" xfId="0" applyFont="1"/>
    <xf numFmtId="0" fontId="73" fillId="0" borderId="4" xfId="0" applyFont="1" applyBorder="1" applyAlignment="1">
      <alignment horizontal="center"/>
    </xf>
    <xf numFmtId="2" fontId="49" fillId="6" borderId="31" xfId="0" applyNumberFormat="1" applyFont="1" applyFill="1" applyBorder="1" applyAlignment="1" applyProtection="1">
      <alignment horizontal="center"/>
      <protection locked="0"/>
    </xf>
    <xf numFmtId="168" fontId="104" fillId="0" borderId="0" xfId="0" applyNumberFormat="1" applyFont="1" applyAlignment="1">
      <alignment horizontal="center"/>
    </xf>
    <xf numFmtId="0" fontId="105" fillId="5" borderId="4" xfId="0" applyFont="1" applyFill="1" applyBorder="1" applyAlignment="1">
      <alignment horizontal="center"/>
    </xf>
    <xf numFmtId="167" fontId="104" fillId="0" borderId="0" xfId="0" applyNumberFormat="1" applyFont="1" applyAlignment="1">
      <alignment horizontal="center"/>
    </xf>
    <xf numFmtId="0" fontId="106" fillId="5" borderId="4" xfId="0" applyFont="1" applyFill="1" applyBorder="1" applyAlignment="1">
      <alignment horizontal="center"/>
    </xf>
    <xf numFmtId="0" fontId="103" fillId="0" borderId="4" xfId="0" applyFont="1" applyBorder="1"/>
    <xf numFmtId="0" fontId="45" fillId="0" borderId="4" xfId="0" applyFont="1" applyBorder="1"/>
    <xf numFmtId="0" fontId="45" fillId="0" borderId="4" xfId="0" applyFont="1" applyBorder="1" applyAlignment="1">
      <alignment horizontal="left"/>
    </xf>
    <xf numFmtId="0" fontId="45" fillId="0" borderId="4" xfId="0" applyFont="1" applyBorder="1" applyAlignment="1">
      <alignment horizontal="center"/>
    </xf>
    <xf numFmtId="0" fontId="0" fillId="0" borderId="4" xfId="0" applyBorder="1" applyAlignment="1">
      <alignment horizontal="center"/>
    </xf>
    <xf numFmtId="9" fontId="85" fillId="0" borderId="4" xfId="2" applyFont="1" applyBorder="1"/>
    <xf numFmtId="0" fontId="1" fillId="0" borderId="0" xfId="0" applyFont="1" applyAlignment="1">
      <alignment horizontal="left" indent="4"/>
    </xf>
    <xf numFmtId="3" fontId="6" fillId="0" borderId="4" xfId="0" applyNumberFormat="1" applyFont="1" applyBorder="1" applyAlignment="1">
      <alignment horizontal="right"/>
    </xf>
    <xf numFmtId="0" fontId="19" fillId="5" borderId="23" xfId="0" applyFont="1" applyFill="1" applyBorder="1" applyAlignment="1">
      <alignment horizontal="center" wrapText="1"/>
    </xf>
    <xf numFmtId="0" fontId="0" fillId="5" borderId="0" xfId="0" applyFill="1"/>
    <xf numFmtId="181" fontId="0" fillId="5" borderId="0" xfId="0" applyNumberFormat="1" applyFill="1"/>
    <xf numFmtId="164" fontId="0" fillId="5" borderId="0" xfId="2" applyNumberFormat="1" applyFont="1" applyFill="1"/>
    <xf numFmtId="2" fontId="0" fillId="5" borderId="0" xfId="0" applyNumberFormat="1" applyFill="1"/>
    <xf numFmtId="174" fontId="0" fillId="5" borderId="0" xfId="5" applyNumberFormat="1" applyFont="1" applyFill="1"/>
    <xf numFmtId="3" fontId="0" fillId="5" borderId="0" xfId="0" applyNumberFormat="1" applyFill="1"/>
    <xf numFmtId="181" fontId="0" fillId="5" borderId="0" xfId="2" applyNumberFormat="1" applyFont="1" applyFill="1"/>
    <xf numFmtId="0" fontId="0" fillId="5" borderId="0" xfId="0" applyFill="1" applyAlignment="1">
      <alignment wrapText="1"/>
    </xf>
    <xf numFmtId="0" fontId="0" fillId="5" borderId="0" xfId="0" applyFill="1" applyAlignment="1">
      <alignment horizontal="center" wrapText="1"/>
    </xf>
    <xf numFmtId="43" fontId="0" fillId="5" borderId="0" xfId="5" applyFont="1" applyFill="1"/>
    <xf numFmtId="174" fontId="0" fillId="5" borderId="0" xfId="0" applyNumberFormat="1" applyFill="1"/>
    <xf numFmtId="44" fontId="0" fillId="5" borderId="0" xfId="1" applyFont="1" applyFill="1"/>
    <xf numFmtId="171" fontId="0" fillId="5" borderId="0" xfId="0" applyNumberFormat="1" applyFill="1"/>
    <xf numFmtId="3" fontId="0" fillId="5" borderId="0" xfId="5" applyNumberFormat="1" applyFont="1" applyFill="1"/>
    <xf numFmtId="1" fontId="0" fillId="5" borderId="0" xfId="0" applyNumberFormat="1" applyFill="1"/>
    <xf numFmtId="171" fontId="0" fillId="5" borderId="0" xfId="5" applyNumberFormat="1" applyFont="1" applyFill="1"/>
    <xf numFmtId="169" fontId="0" fillId="5" borderId="0" xfId="0" applyNumberFormat="1" applyFill="1"/>
    <xf numFmtId="169" fontId="0" fillId="5" borderId="0" xfId="5" applyNumberFormat="1" applyFont="1" applyFill="1"/>
    <xf numFmtId="0" fontId="0" fillId="17" borderId="0" xfId="0" applyFill="1"/>
    <xf numFmtId="182" fontId="0" fillId="17" borderId="0" xfId="0" applyNumberFormat="1" applyFill="1"/>
    <xf numFmtId="181" fontId="0" fillId="17" borderId="0" xfId="0" applyNumberFormat="1" applyFill="1"/>
    <xf numFmtId="164" fontId="0" fillId="17" borderId="0" xfId="2" applyNumberFormat="1" applyFont="1" applyFill="1"/>
    <xf numFmtId="3" fontId="0" fillId="17" borderId="0" xfId="0" applyNumberFormat="1" applyFill="1"/>
    <xf numFmtId="2" fontId="0" fillId="17" borderId="0" xfId="0" applyNumberFormat="1" applyFill="1"/>
    <xf numFmtId="1" fontId="0" fillId="17" borderId="0" xfId="0" applyNumberFormat="1" applyFill="1"/>
    <xf numFmtId="169" fontId="0" fillId="17" borderId="0" xfId="0" applyNumberFormat="1" applyFill="1"/>
    <xf numFmtId="0" fontId="0" fillId="17" borderId="0" xfId="0" applyFill="1" applyAlignment="1">
      <alignment wrapText="1"/>
    </xf>
    <xf numFmtId="9" fontId="0" fillId="17" borderId="0" xfId="2" applyFont="1" applyFill="1"/>
    <xf numFmtId="171" fontId="0" fillId="17" borderId="0" xfId="0" applyNumberFormat="1" applyFill="1"/>
    <xf numFmtId="174" fontId="0" fillId="17" borderId="0" xfId="0" applyNumberFormat="1" applyFill="1"/>
    <xf numFmtId="174" fontId="0" fillId="17" borderId="0" xfId="5" applyNumberFormat="1" applyFont="1" applyFill="1"/>
    <xf numFmtId="171" fontId="0" fillId="17" borderId="0" xfId="5" applyNumberFormat="1" applyFont="1" applyFill="1"/>
    <xf numFmtId="169" fontId="0" fillId="17" borderId="0" xfId="5" applyNumberFormat="1" applyFont="1" applyFill="1"/>
    <xf numFmtId="0" fontId="0" fillId="18" borderId="0" xfId="0" applyFill="1"/>
    <xf numFmtId="9" fontId="0" fillId="18" borderId="0" xfId="2" applyFont="1" applyFill="1"/>
    <xf numFmtId="181" fontId="0" fillId="18" borderId="0" xfId="0" applyNumberFormat="1" applyFill="1"/>
    <xf numFmtId="182" fontId="0" fillId="18" borderId="0" xfId="0" applyNumberFormat="1" applyFill="1"/>
    <xf numFmtId="164" fontId="0" fillId="18" borderId="0" xfId="2" applyNumberFormat="1" applyFont="1" applyFill="1"/>
    <xf numFmtId="2" fontId="0" fillId="18" borderId="0" xfId="0" applyNumberFormat="1" applyFill="1"/>
    <xf numFmtId="3" fontId="0" fillId="18" borderId="0" xfId="0" applyNumberFormat="1" applyFill="1"/>
    <xf numFmtId="181" fontId="0" fillId="18" borderId="0" xfId="2" applyNumberFormat="1" applyFont="1" applyFill="1"/>
    <xf numFmtId="1" fontId="0" fillId="18" borderId="0" xfId="0" applyNumberFormat="1" applyFill="1"/>
    <xf numFmtId="169" fontId="0" fillId="18" borderId="0" xfId="0" applyNumberFormat="1" applyFill="1"/>
    <xf numFmtId="0" fontId="0" fillId="18" borderId="0" xfId="0" applyFill="1" applyAlignment="1">
      <alignment wrapText="1"/>
    </xf>
    <xf numFmtId="183" fontId="0" fillId="18" borderId="0" xfId="2" applyNumberFormat="1" applyFont="1" applyFill="1"/>
    <xf numFmtId="43" fontId="0" fillId="18" borderId="0" xfId="5" applyFont="1" applyFill="1"/>
    <xf numFmtId="174" fontId="0" fillId="18" borderId="0" xfId="0" applyNumberFormat="1" applyFill="1"/>
    <xf numFmtId="171" fontId="0" fillId="18" borderId="0" xfId="0" applyNumberFormat="1" applyFill="1"/>
    <xf numFmtId="174" fontId="0" fillId="18" borderId="0" xfId="5" applyNumberFormat="1" applyFont="1" applyFill="1"/>
    <xf numFmtId="171" fontId="0" fillId="18" borderId="0" xfId="5" applyNumberFormat="1" applyFont="1" applyFill="1"/>
    <xf numFmtId="169" fontId="0" fillId="18" borderId="0" xfId="5" applyNumberFormat="1" applyFont="1" applyFill="1"/>
    <xf numFmtId="4" fontId="6" fillId="0" borderId="4" xfId="0" applyNumberFormat="1" applyFont="1" applyBorder="1"/>
    <xf numFmtId="0" fontId="108" fillId="19" borderId="0" xfId="0" applyFont="1" applyFill="1"/>
    <xf numFmtId="3" fontId="108" fillId="19" borderId="0" xfId="0" applyNumberFormat="1" applyFont="1" applyFill="1"/>
    <xf numFmtId="0" fontId="109" fillId="19" borderId="0" xfId="0" applyFont="1" applyFill="1"/>
    <xf numFmtId="3" fontId="109" fillId="19" borderId="0" xfId="0" applyNumberFormat="1" applyFont="1" applyFill="1"/>
    <xf numFmtId="181" fontId="109" fillId="19" borderId="0" xfId="0" applyNumberFormat="1" applyFont="1" applyFill="1"/>
    <xf numFmtId="2" fontId="109" fillId="19" borderId="0" xfId="0" applyNumberFormat="1" applyFont="1" applyFill="1"/>
    <xf numFmtId="174" fontId="108" fillId="19" borderId="0" xfId="0" applyNumberFormat="1" applyFont="1" applyFill="1"/>
    <xf numFmtId="182" fontId="108" fillId="19" borderId="0" xfId="2" applyNumberFormat="1" applyFont="1" applyFill="1"/>
    <xf numFmtId="9" fontId="108" fillId="19" borderId="0" xfId="2" applyFont="1" applyFill="1"/>
    <xf numFmtId="0" fontId="109" fillId="0" borderId="0" xfId="0" applyFont="1"/>
    <xf numFmtId="0" fontId="88" fillId="0" borderId="0" xfId="0" applyFont="1"/>
    <xf numFmtId="0" fontId="0" fillId="12" borderId="4" xfId="0" applyFill="1" applyBorder="1" applyAlignment="1" applyProtection="1">
      <alignment wrapText="1"/>
      <protection locked="0"/>
    </xf>
    <xf numFmtId="0" fontId="47" fillId="7" borderId="4" xfId="0" applyFont="1" applyFill="1" applyBorder="1" applyAlignment="1" applyProtection="1">
      <alignment horizontal="center"/>
      <protection locked="0"/>
    </xf>
    <xf numFmtId="164" fontId="44" fillId="0" borderId="6" xfId="2" applyNumberFormat="1" applyFont="1" applyFill="1" applyBorder="1" applyAlignment="1" applyProtection="1">
      <alignment horizontal="center" vertical="center" wrapText="1"/>
      <protection locked="0"/>
    </xf>
    <xf numFmtId="164" fontId="63" fillId="0" borderId="11" xfId="2" applyNumberFormat="1" applyFont="1" applyFill="1" applyBorder="1" applyAlignment="1" applyProtection="1">
      <alignment horizontal="center"/>
      <protection locked="0"/>
    </xf>
    <xf numFmtId="0" fontId="41" fillId="0" borderId="0" xfId="0" applyFont="1" applyAlignment="1" applyProtection="1">
      <alignment wrapText="1"/>
      <protection locked="0"/>
    </xf>
    <xf numFmtId="0" fontId="47" fillId="0" borderId="9" xfId="0" applyFont="1" applyBorder="1" applyAlignment="1" applyProtection="1">
      <alignment horizontal="center"/>
      <protection locked="0"/>
    </xf>
    <xf numFmtId="0" fontId="47" fillId="0" borderId="6" xfId="0" applyFont="1" applyBorder="1" applyAlignment="1" applyProtection="1">
      <alignment horizontal="center"/>
      <protection locked="0"/>
    </xf>
    <xf numFmtId="3" fontId="41" fillId="0" borderId="21" xfId="0" applyNumberFormat="1" applyFont="1" applyBorder="1" applyAlignment="1" applyProtection="1">
      <alignment horizontal="center"/>
      <protection locked="0"/>
    </xf>
    <xf numFmtId="164" fontId="41" fillId="0" borderId="21" xfId="2" applyNumberFormat="1" applyFont="1" applyBorder="1" applyAlignment="1" applyProtection="1">
      <alignment horizontal="center"/>
      <protection locked="0"/>
    </xf>
    <xf numFmtId="0" fontId="41" fillId="0" borderId="21" xfId="0" applyFont="1" applyBorder="1" applyAlignment="1" applyProtection="1">
      <alignment horizontal="center"/>
      <protection locked="0"/>
    </xf>
    <xf numFmtId="169" fontId="41" fillId="0" borderId="21" xfId="0" applyNumberFormat="1" applyFont="1" applyBorder="1" applyAlignment="1" applyProtection="1">
      <alignment horizontal="center"/>
      <protection locked="0"/>
    </xf>
    <xf numFmtId="9" fontId="41" fillId="0" borderId="21" xfId="0" applyNumberFormat="1" applyFont="1" applyBorder="1" applyAlignment="1" applyProtection="1">
      <alignment horizontal="center"/>
      <protection locked="0"/>
    </xf>
    <xf numFmtId="0" fontId="41" fillId="0" borderId="5" xfId="0" applyFont="1" applyBorder="1" applyAlignment="1" applyProtection="1">
      <alignment horizontal="center"/>
      <protection locked="0"/>
    </xf>
    <xf numFmtId="0" fontId="41" fillId="0" borderId="4" xfId="0" applyFont="1" applyBorder="1" applyProtection="1">
      <protection locked="0"/>
    </xf>
    <xf numFmtId="0" fontId="40" fillId="0" borderId="0" xfId="0" applyFont="1"/>
    <xf numFmtId="0" fontId="4" fillId="2" borderId="48" xfId="0" applyFont="1" applyFill="1" applyBorder="1" applyAlignment="1">
      <alignment horizontal="center"/>
    </xf>
    <xf numFmtId="0" fontId="40" fillId="5" borderId="19" xfId="0" applyFont="1" applyFill="1" applyBorder="1"/>
    <xf numFmtId="0" fontId="3" fillId="2" borderId="17" xfId="0" applyFont="1" applyFill="1" applyBorder="1"/>
    <xf numFmtId="0" fontId="40" fillId="0" borderId="17" xfId="0" applyFont="1" applyBorder="1" applyAlignment="1">
      <alignment horizontal="center" vertical="center"/>
    </xf>
    <xf numFmtId="0" fontId="62" fillId="0" borderId="0" xfId="0" applyFont="1" applyAlignment="1">
      <alignment horizontal="center" vertical="center"/>
    </xf>
    <xf numFmtId="0" fontId="26" fillId="0" borderId="17" xfId="0" applyFont="1" applyBorder="1" applyAlignment="1">
      <alignment horizontal="center" vertical="center"/>
    </xf>
    <xf numFmtId="164" fontId="1" fillId="0" borderId="0" xfId="2" applyNumberFormat="1" applyFont="1" applyFill="1" applyBorder="1"/>
    <xf numFmtId="0" fontId="73" fillId="0" borderId="0" xfId="0" applyFont="1" applyAlignment="1">
      <alignment horizontal="center"/>
    </xf>
    <xf numFmtId="164" fontId="85" fillId="0" borderId="0" xfId="2" applyNumberFormat="1" applyFont="1" applyFill="1" applyBorder="1"/>
    <xf numFmtId="164" fontId="1" fillId="0" borderId="0" xfId="2" applyNumberFormat="1" applyFont="1" applyFill="1" applyBorder="1" applyProtection="1">
      <protection locked="0"/>
    </xf>
    <xf numFmtId="9" fontId="22" fillId="6" borderId="51" xfId="2" applyFont="1" applyFill="1" applyBorder="1" applyAlignment="1" applyProtection="1">
      <alignment horizontal="center"/>
      <protection locked="0"/>
    </xf>
    <xf numFmtId="3" fontId="1" fillId="0" borderId="18" xfId="0" applyNumberFormat="1" applyFont="1" applyBorder="1"/>
    <xf numFmtId="14" fontId="45" fillId="0" borderId="0" xfId="0" applyNumberFormat="1" applyFont="1" applyAlignment="1">
      <alignment horizontal="center"/>
    </xf>
    <xf numFmtId="171" fontId="22" fillId="12" borderId="4" xfId="2" applyNumberFormat="1" applyFont="1" applyFill="1" applyBorder="1" applyProtection="1">
      <protection locked="0"/>
    </xf>
    <xf numFmtId="0" fontId="0" fillId="17" borderId="0" xfId="0" quotePrefix="1" applyFill="1"/>
    <xf numFmtId="0" fontId="0" fillId="18" borderId="0" xfId="0" quotePrefix="1" applyFill="1"/>
    <xf numFmtId="164" fontId="6" fillId="0" borderId="4" xfId="2" applyNumberFormat="1" applyFont="1" applyBorder="1"/>
    <xf numFmtId="9" fontId="22" fillId="12" borderId="4" xfId="2" applyFont="1" applyFill="1" applyBorder="1" applyProtection="1">
      <protection locked="0"/>
    </xf>
    <xf numFmtId="4" fontId="0" fillId="0" borderId="4" xfId="0" applyNumberFormat="1" applyBorder="1" applyAlignment="1">
      <alignment horizontal="right" indent="2"/>
    </xf>
    <xf numFmtId="2" fontId="40" fillId="0" borderId="17" xfId="0" applyNumberFormat="1" applyFont="1" applyBorder="1" applyAlignment="1" applyProtection="1">
      <alignment horizontal="center" vertical="center"/>
      <protection locked="0"/>
    </xf>
    <xf numFmtId="2" fontId="40" fillId="0" borderId="6" xfId="0" applyNumberFormat="1" applyFont="1" applyBorder="1" applyAlignment="1" applyProtection="1">
      <alignment horizontal="center" vertical="center"/>
      <protection locked="0"/>
    </xf>
    <xf numFmtId="0" fontId="26" fillId="0" borderId="0" xfId="0" applyFont="1" applyAlignment="1">
      <alignment horizontal="center" vertical="center"/>
    </xf>
    <xf numFmtId="9" fontId="41" fillId="0" borderId="21" xfId="2" applyFont="1" applyBorder="1" applyAlignment="1" applyProtection="1">
      <alignment horizontal="center"/>
      <protection locked="0"/>
    </xf>
    <xf numFmtId="171" fontId="41" fillId="0" borderId="21" xfId="0" applyNumberFormat="1" applyFont="1" applyBorder="1" applyAlignment="1" applyProtection="1">
      <alignment horizontal="center"/>
      <protection locked="0"/>
    </xf>
    <xf numFmtId="40" fontId="41" fillId="0" borderId="21" xfId="0" applyNumberFormat="1" applyFont="1" applyBorder="1" applyAlignment="1" applyProtection="1">
      <alignment horizontal="center"/>
      <protection locked="0"/>
    </xf>
    <xf numFmtId="10" fontId="41" fillId="0" borderId="21" xfId="0" applyNumberFormat="1" applyFont="1" applyBorder="1" applyAlignment="1" applyProtection="1">
      <alignment horizontal="center"/>
      <protection locked="0"/>
    </xf>
    <xf numFmtId="9" fontId="0" fillId="5" borderId="0" xfId="2" applyFont="1" applyFill="1"/>
    <xf numFmtId="9" fontId="26" fillId="0" borderId="4" xfId="2" applyFont="1" applyFill="1" applyBorder="1" applyProtection="1"/>
    <xf numFmtId="0" fontId="63" fillId="7" borderId="7" xfId="0" applyFont="1" applyFill="1" applyBorder="1" applyAlignment="1" applyProtection="1">
      <alignment horizontal="center"/>
      <protection locked="0"/>
    </xf>
    <xf numFmtId="164" fontId="72" fillId="3" borderId="6" xfId="2" applyNumberFormat="1" applyFont="1" applyFill="1" applyBorder="1" applyAlignment="1" applyProtection="1">
      <alignment horizontal="center" vertical="center" wrapText="1"/>
      <protection locked="0"/>
    </xf>
    <xf numFmtId="164" fontId="63" fillId="0" borderId="14" xfId="2" applyNumberFormat="1" applyFont="1" applyFill="1" applyBorder="1" applyAlignment="1" applyProtection="1">
      <alignment horizontal="center"/>
      <protection locked="0"/>
    </xf>
    <xf numFmtId="0" fontId="43" fillId="0" borderId="9" xfId="0" applyFont="1" applyBorder="1" applyAlignment="1" applyProtection="1">
      <alignment horizontal="center"/>
      <protection locked="0"/>
    </xf>
    <xf numFmtId="3" fontId="47" fillId="0" borderId="21" xfId="0" applyNumberFormat="1" applyFont="1" applyBorder="1" applyAlignment="1" applyProtection="1">
      <alignment horizontal="center"/>
      <protection locked="0"/>
    </xf>
    <xf numFmtId="0" fontId="41" fillId="0" borderId="6" xfId="0" applyFont="1" applyBorder="1" applyAlignment="1" applyProtection="1">
      <alignment horizontal="center"/>
      <protection locked="0"/>
    </xf>
    <xf numFmtId="0" fontId="104" fillId="0" borderId="0" xfId="0" applyFont="1" applyAlignment="1">
      <alignment horizontal="center"/>
    </xf>
    <xf numFmtId="10" fontId="79" fillId="0" borderId="4" xfId="2" applyNumberFormat="1" applyFont="1" applyBorder="1" applyProtection="1">
      <protection locked="0"/>
    </xf>
    <xf numFmtId="169" fontId="79" fillId="0" borderId="4" xfId="0" applyNumberFormat="1" applyFont="1" applyBorder="1" applyProtection="1">
      <protection locked="0"/>
    </xf>
    <xf numFmtId="6" fontId="4" fillId="0" borderId="0" xfId="0" applyNumberFormat="1" applyFont="1" applyAlignment="1">
      <alignment horizontal="center"/>
    </xf>
    <xf numFmtId="0" fontId="0" fillId="0" borderId="0" xfId="0" applyAlignment="1">
      <alignment horizontal="center" vertical="center" wrapText="1"/>
    </xf>
    <xf numFmtId="3" fontId="0" fillId="0" borderId="0" xfId="0" applyNumberFormat="1" applyAlignment="1">
      <alignment horizontal="center" vertical="center" wrapText="1"/>
    </xf>
    <xf numFmtId="6" fontId="0" fillId="0" borderId="0" xfId="0" applyNumberFormat="1" applyAlignment="1">
      <alignment horizontal="center" vertical="center" wrapText="1"/>
    </xf>
    <xf numFmtId="3" fontId="0" fillId="0" borderId="0" xfId="0" applyNumberFormat="1" applyAlignment="1">
      <alignment horizontal="right" vertical="center" wrapText="1"/>
    </xf>
    <xf numFmtId="0" fontId="0" fillId="0" borderId="0" xfId="0" applyAlignment="1">
      <alignment horizontal="right" vertical="center" wrapText="1"/>
    </xf>
    <xf numFmtId="6" fontId="0" fillId="0" borderId="0" xfId="0" applyNumberFormat="1" applyAlignment="1">
      <alignment horizontal="right" vertical="center" wrapText="1"/>
    </xf>
    <xf numFmtId="0" fontId="83" fillId="0" borderId="0" xfId="0" applyFont="1"/>
    <xf numFmtId="0" fontId="41" fillId="0" borderId="4" xfId="0" applyFont="1" applyBorder="1" applyAlignment="1">
      <alignment horizontal="left"/>
    </xf>
    <xf numFmtId="171" fontId="22" fillId="0" borderId="4" xfId="2" applyNumberFormat="1" applyFont="1" applyFill="1" applyBorder="1" applyProtection="1"/>
    <xf numFmtId="1" fontId="22" fillId="0" borderId="4" xfId="2" applyNumberFormat="1" applyFont="1" applyFill="1" applyBorder="1" applyProtection="1"/>
    <xf numFmtId="2" fontId="22" fillId="12" borderId="4" xfId="0" applyNumberFormat="1" applyFont="1" applyFill="1" applyBorder="1" applyProtection="1">
      <protection locked="0"/>
    </xf>
    <xf numFmtId="2" fontId="22" fillId="12" borderId="4" xfId="5" applyNumberFormat="1" applyFont="1" applyFill="1" applyBorder="1" applyProtection="1">
      <protection locked="0"/>
    </xf>
    <xf numFmtId="2" fontId="0" fillId="0" borderId="0" xfId="0" applyNumberFormat="1" applyAlignment="1">
      <alignment horizontal="right" vertical="center" wrapText="1"/>
    </xf>
    <xf numFmtId="44" fontId="0" fillId="12" borderId="4" xfId="1" applyFont="1" applyFill="1" applyBorder="1" applyAlignment="1" applyProtection="1">
      <alignment horizontal="right" indent="2"/>
      <protection locked="0"/>
    </xf>
    <xf numFmtId="9" fontId="0" fillId="12" borderId="4" xfId="2" applyFont="1" applyFill="1" applyBorder="1" applyAlignment="1" applyProtection="1">
      <alignment horizontal="right" indent="2"/>
      <protection locked="0"/>
    </xf>
    <xf numFmtId="3" fontId="0" fillId="17" borderId="0" xfId="5" applyNumberFormat="1" applyFont="1" applyFill="1"/>
    <xf numFmtId="10" fontId="0" fillId="0" borderId="0" xfId="0" applyNumberFormat="1" applyAlignment="1">
      <alignment horizontal="right" vertical="center" wrapText="1"/>
    </xf>
    <xf numFmtId="9" fontId="0" fillId="0" borderId="0" xfId="2" applyFont="1" applyBorder="1" applyAlignment="1">
      <alignment horizontal="right"/>
    </xf>
    <xf numFmtId="0" fontId="13" fillId="0" borderId="14" xfId="0" applyFont="1" applyBorder="1" applyAlignment="1">
      <alignment horizontal="center"/>
    </xf>
    <xf numFmtId="0" fontId="3" fillId="5" borderId="4" xfId="0" applyFont="1" applyFill="1" applyBorder="1"/>
    <xf numFmtId="0" fontId="19" fillId="5" borderId="4" xfId="0" applyFont="1" applyFill="1" applyBorder="1" applyAlignment="1">
      <alignment horizontal="center"/>
    </xf>
    <xf numFmtId="185" fontId="0" fillId="18" borderId="0" xfId="0" applyNumberFormat="1" applyFill="1"/>
    <xf numFmtId="0" fontId="0" fillId="12" borderId="0" xfId="0" applyFill="1" applyProtection="1">
      <protection locked="0"/>
    </xf>
    <xf numFmtId="2" fontId="0" fillId="13" borderId="0" xfId="0" applyNumberFormat="1" applyFill="1"/>
    <xf numFmtId="177" fontId="0" fillId="13" borderId="0" xfId="0" applyNumberFormat="1" applyFill="1"/>
    <xf numFmtId="1" fontId="0" fillId="13" borderId="0" xfId="0" applyNumberFormat="1" applyFill="1"/>
    <xf numFmtId="3" fontId="0" fillId="13" borderId="0" xfId="0" applyNumberFormat="1" applyFill="1"/>
    <xf numFmtId="184" fontId="0" fillId="13" borderId="0" xfId="0" applyNumberFormat="1" applyFill="1"/>
    <xf numFmtId="4" fontId="0" fillId="13" borderId="0" xfId="0" applyNumberFormat="1" applyFill="1"/>
    <xf numFmtId="164" fontId="0" fillId="13" borderId="0" xfId="2" applyNumberFormat="1" applyFont="1" applyFill="1"/>
    <xf numFmtId="183" fontId="0" fillId="13" borderId="0" xfId="2" applyNumberFormat="1" applyFont="1" applyFill="1"/>
    <xf numFmtId="2" fontId="0" fillId="13" borderId="0" xfId="2" applyNumberFormat="1" applyFont="1" applyFill="1"/>
    <xf numFmtId="177" fontId="0" fillId="13" borderId="0" xfId="2" applyNumberFormat="1" applyFont="1" applyFill="1"/>
    <xf numFmtId="9" fontId="0" fillId="13" borderId="0" xfId="0" applyNumberFormat="1" applyFill="1"/>
    <xf numFmtId="44" fontId="0" fillId="13" borderId="0" xfId="0" applyNumberFormat="1" applyFill="1"/>
    <xf numFmtId="0" fontId="0" fillId="13" borderId="0" xfId="0" quotePrefix="1" applyFill="1"/>
    <xf numFmtId="0" fontId="0" fillId="13" borderId="0" xfId="0" applyFill="1" applyAlignment="1">
      <alignment horizontal="center" wrapText="1"/>
    </xf>
    <xf numFmtId="169" fontId="0" fillId="13" borderId="0" xfId="0" applyNumberFormat="1" applyFill="1"/>
    <xf numFmtId="0" fontId="81" fillId="13" borderId="0" xfId="0" applyFont="1" applyFill="1"/>
    <xf numFmtId="0" fontId="0" fillId="13" borderId="0" xfId="0" applyFill="1" applyAlignment="1">
      <alignment horizontal="center"/>
    </xf>
    <xf numFmtId="169" fontId="81" fillId="13" borderId="0" xfId="0" applyNumberFormat="1" applyFont="1" applyFill="1"/>
    <xf numFmtId="169" fontId="113" fillId="13" borderId="0" xfId="0" applyNumberFormat="1" applyFont="1" applyFill="1"/>
    <xf numFmtId="0" fontId="113" fillId="13" borderId="0" xfId="0" applyFont="1" applyFill="1"/>
    <xf numFmtId="0" fontId="81" fillId="5" borderId="0" xfId="0" applyFont="1" applyFill="1"/>
    <xf numFmtId="169" fontId="81" fillId="5" borderId="0" xfId="0" applyNumberFormat="1" applyFont="1" applyFill="1"/>
    <xf numFmtId="0" fontId="81" fillId="17" borderId="0" xfId="0" applyFont="1" applyFill="1"/>
    <xf numFmtId="0" fontId="0" fillId="17" borderId="0" xfId="0" applyFill="1" applyAlignment="1">
      <alignment horizontal="center" wrapText="1"/>
    </xf>
    <xf numFmtId="169" fontId="81" fillId="17" borderId="0" xfId="0" applyNumberFormat="1" applyFont="1" applyFill="1"/>
    <xf numFmtId="0" fontId="81" fillId="21" borderId="0" xfId="0" applyFont="1" applyFill="1"/>
    <xf numFmtId="0" fontId="0" fillId="21" borderId="0" xfId="0" applyFill="1"/>
    <xf numFmtId="3" fontId="0" fillId="21" borderId="0" xfId="0" applyNumberFormat="1" applyFill="1"/>
    <xf numFmtId="0" fontId="0" fillId="21" borderId="0" xfId="0" applyFill="1" applyAlignment="1">
      <alignment horizontal="center" wrapText="1"/>
    </xf>
    <xf numFmtId="1" fontId="0" fillId="21" borderId="0" xfId="0" applyNumberFormat="1" applyFill="1"/>
    <xf numFmtId="169" fontId="0" fillId="21" borderId="0" xfId="0" applyNumberFormat="1" applyFill="1"/>
    <xf numFmtId="169" fontId="81" fillId="21" borderId="0" xfId="0" applyNumberFormat="1" applyFont="1" applyFill="1"/>
    <xf numFmtId="0" fontId="0" fillId="11" borderId="0" xfId="0" applyFill="1"/>
    <xf numFmtId="3" fontId="0" fillId="22" borderId="0" xfId="5" applyNumberFormat="1" applyFont="1" applyFill="1"/>
    <xf numFmtId="44" fontId="0" fillId="22" borderId="0" xfId="1" applyFont="1" applyFill="1"/>
    <xf numFmtId="0" fontId="0" fillId="22" borderId="0" xfId="0" applyFill="1"/>
    <xf numFmtId="3" fontId="0" fillId="18" borderId="0" xfId="0" applyNumberFormat="1" applyFill="1" applyAlignment="1">
      <alignment horizontal="right"/>
    </xf>
    <xf numFmtId="0" fontId="0" fillId="18" borderId="0" xfId="0" applyFill="1" applyAlignment="1">
      <alignment horizontal="right"/>
    </xf>
    <xf numFmtId="0" fontId="41" fillId="0" borderId="5" xfId="0" applyFont="1" applyBorder="1"/>
    <xf numFmtId="171" fontId="41" fillId="0" borderId="0" xfId="0" applyNumberFormat="1" applyFont="1" applyProtection="1">
      <protection locked="0"/>
    </xf>
    <xf numFmtId="2" fontId="26" fillId="0" borderId="4" xfId="2" applyNumberFormat="1" applyFont="1" applyFill="1" applyBorder="1" applyProtection="1"/>
    <xf numFmtId="9" fontId="0" fillId="17" borderId="0" xfId="2" applyFont="1" applyFill="1" applyAlignment="1">
      <alignment wrapText="1"/>
    </xf>
    <xf numFmtId="0" fontId="114" fillId="0" borderId="0" xfId="0" applyFont="1" applyAlignment="1">
      <alignment horizontal="center"/>
    </xf>
    <xf numFmtId="0" fontId="114" fillId="0" borderId="0" xfId="0" applyFont="1"/>
    <xf numFmtId="4" fontId="26" fillId="0" borderId="4" xfId="0" applyNumberFormat="1" applyFont="1" applyBorder="1"/>
    <xf numFmtId="2" fontId="26" fillId="0" borderId="4" xfId="0" applyNumberFormat="1" applyFont="1" applyBorder="1"/>
    <xf numFmtId="9" fontId="83" fillId="0" borderId="0" xfId="2" applyFont="1"/>
    <xf numFmtId="0" fontId="49" fillId="12" borderId="4" xfId="0" applyFont="1" applyFill="1" applyBorder="1" applyAlignment="1" applyProtection="1">
      <alignment wrapText="1"/>
      <protection locked="0"/>
    </xf>
    <xf numFmtId="3" fontId="49" fillId="12" borderId="4" xfId="0" applyNumberFormat="1" applyFont="1" applyFill="1" applyBorder="1" applyProtection="1">
      <protection locked="0"/>
    </xf>
    <xf numFmtId="169" fontId="49" fillId="12" borderId="4" xfId="0" applyNumberFormat="1" applyFont="1" applyFill="1" applyBorder="1" applyProtection="1">
      <protection locked="0"/>
    </xf>
    <xf numFmtId="177" fontId="49" fillId="12" borderId="4" xfId="0" applyNumberFormat="1" applyFont="1" applyFill="1" applyBorder="1" applyProtection="1">
      <protection locked="0"/>
    </xf>
    <xf numFmtId="1" fontId="49" fillId="12" borderId="4" xfId="0" applyNumberFormat="1" applyFont="1" applyFill="1" applyBorder="1" applyProtection="1">
      <protection locked="0"/>
    </xf>
    <xf numFmtId="164" fontId="49" fillId="12" borderId="4" xfId="2" applyNumberFormat="1" applyFont="1" applyFill="1" applyBorder="1" applyProtection="1">
      <protection locked="0"/>
    </xf>
    <xf numFmtId="9" fontId="49" fillId="12" borderId="4" xfId="2" applyFont="1" applyFill="1" applyBorder="1" applyProtection="1">
      <protection locked="0"/>
    </xf>
    <xf numFmtId="2" fontId="49" fillId="12" borderId="4" xfId="0" applyNumberFormat="1" applyFont="1" applyFill="1" applyBorder="1" applyProtection="1">
      <protection locked="0"/>
    </xf>
    <xf numFmtId="180" fontId="49" fillId="16" borderId="4" xfId="0" applyNumberFormat="1" applyFont="1" applyFill="1" applyBorder="1" applyProtection="1">
      <protection locked="0"/>
    </xf>
    <xf numFmtId="171" fontId="49" fillId="12" borderId="4" xfId="0" applyNumberFormat="1" applyFont="1" applyFill="1" applyBorder="1" applyProtection="1">
      <protection locked="0"/>
    </xf>
    <xf numFmtId="3" fontId="26" fillId="0" borderId="0" xfId="0" applyNumberFormat="1" applyFont="1"/>
    <xf numFmtId="3" fontId="26" fillId="0" borderId="4" xfId="0" applyNumberFormat="1" applyFont="1" applyBorder="1"/>
    <xf numFmtId="169" fontId="41" fillId="0" borderId="4" xfId="0" applyNumberFormat="1" applyFont="1" applyBorder="1"/>
    <xf numFmtId="0" fontId="73" fillId="0" borderId="14" xfId="0" applyFont="1" applyBorder="1" applyAlignment="1">
      <alignment horizontal="center"/>
    </xf>
    <xf numFmtId="169" fontId="115" fillId="12" borderId="4" xfId="0" applyNumberFormat="1" applyFont="1" applyFill="1" applyBorder="1" applyAlignment="1" applyProtection="1">
      <alignment horizontal="right"/>
      <protection locked="0"/>
    </xf>
    <xf numFmtId="3" fontId="41" fillId="0" borderId="6" xfId="0" applyNumberFormat="1" applyFont="1" applyBorder="1" applyAlignment="1" applyProtection="1">
      <alignment horizontal="center"/>
      <protection locked="0"/>
    </xf>
    <xf numFmtId="0" fontId="3" fillId="0" borderId="21" xfId="0" applyFont="1" applyBorder="1" applyAlignment="1">
      <alignment horizontal="center"/>
    </xf>
    <xf numFmtId="0" fontId="41" fillId="0" borderId="21" xfId="0" applyFont="1" applyBorder="1"/>
    <xf numFmtId="0" fontId="6" fillId="0" borderId="21" xfId="0" applyFont="1" applyBorder="1"/>
    <xf numFmtId="0" fontId="26" fillId="0" borderId="21" xfId="0" applyFont="1" applyBorder="1"/>
    <xf numFmtId="2" fontId="26" fillId="13" borderId="4" xfId="2" applyNumberFormat="1" applyFont="1" applyFill="1" applyBorder="1" applyProtection="1"/>
    <xf numFmtId="0" fontId="106" fillId="0" borderId="0" xfId="0" applyFont="1" applyAlignment="1">
      <alignment horizontal="center"/>
    </xf>
    <xf numFmtId="0" fontId="116" fillId="0" borderId="0" xfId="0" applyFont="1" applyAlignment="1">
      <alignment horizontal="center"/>
    </xf>
    <xf numFmtId="0" fontId="47" fillId="0" borderId="4" xfId="0" applyFont="1" applyBorder="1" applyAlignment="1">
      <alignment horizontal="center"/>
    </xf>
    <xf numFmtId="171" fontId="6" fillId="0" borderId="0" xfId="0" applyNumberFormat="1" applyFont="1"/>
    <xf numFmtId="180" fontId="6" fillId="0" borderId="0" xfId="0" applyNumberFormat="1" applyFont="1"/>
    <xf numFmtId="9" fontId="1" fillId="0" borderId="4" xfId="0" applyNumberFormat="1" applyFont="1" applyBorder="1"/>
    <xf numFmtId="9" fontId="22" fillId="5" borderId="39" xfId="2" applyFont="1" applyFill="1" applyBorder="1" applyAlignment="1" applyProtection="1">
      <alignment horizontal="center"/>
      <protection locked="0"/>
    </xf>
    <xf numFmtId="1" fontId="1" fillId="0" borderId="0" xfId="0" applyNumberFormat="1" applyFont="1"/>
    <xf numFmtId="0" fontId="117" fillId="0" borderId="0" xfId="0" applyFont="1"/>
    <xf numFmtId="0" fontId="6" fillId="0" borderId="6" xfId="0" applyFont="1" applyBorder="1"/>
    <xf numFmtId="3" fontId="6" fillId="0" borderId="6" xfId="0" applyNumberFormat="1" applyFont="1" applyBorder="1" applyAlignment="1">
      <alignment horizontal="right"/>
    </xf>
    <xf numFmtId="3" fontId="6" fillId="0" borderId="6" xfId="0" applyNumberFormat="1" applyFont="1" applyBorder="1"/>
    <xf numFmtId="1" fontId="83" fillId="0" borderId="0" xfId="0" applyNumberFormat="1" applyFont="1"/>
    <xf numFmtId="3" fontId="41" fillId="0" borderId="4" xfId="0" applyNumberFormat="1" applyFont="1" applyBorder="1"/>
    <xf numFmtId="3" fontId="118" fillId="12" borderId="39" xfId="5" applyNumberFormat="1" applyFont="1" applyFill="1" applyBorder="1" applyAlignment="1">
      <alignment horizontal="right"/>
    </xf>
    <xf numFmtId="3" fontId="26" fillId="0" borderId="4" xfId="2" applyNumberFormat="1" applyFont="1" applyFill="1" applyBorder="1" applyProtection="1">
      <protection locked="0"/>
    </xf>
    <xf numFmtId="0" fontId="108" fillId="0" borderId="0" xfId="0" applyFont="1"/>
    <xf numFmtId="174" fontId="108" fillId="0" borderId="0" xfId="0" applyNumberFormat="1" applyFont="1"/>
    <xf numFmtId="3" fontId="108" fillId="0" borderId="0" xfId="0" applyNumberFormat="1" applyFont="1"/>
    <xf numFmtId="9" fontId="108" fillId="0" borderId="0" xfId="2" applyFont="1" applyFill="1"/>
    <xf numFmtId="182" fontId="108" fillId="0" borderId="0" xfId="2" applyNumberFormat="1" applyFont="1" applyFill="1"/>
    <xf numFmtId="3" fontId="0" fillId="5" borderId="0" xfId="2" applyNumberFormat="1" applyFont="1" applyFill="1"/>
    <xf numFmtId="3" fontId="0" fillId="12" borderId="0" xfId="5" applyNumberFormat="1" applyFont="1" applyFill="1" applyProtection="1">
      <protection locked="0"/>
    </xf>
    <xf numFmtId="3" fontId="0" fillId="18" borderId="0" xfId="5" applyNumberFormat="1" applyFont="1" applyFill="1"/>
    <xf numFmtId="0" fontId="6" fillId="0" borderId="4" xfId="0" quotePrefix="1" applyFont="1" applyBorder="1" applyAlignment="1">
      <alignment horizontal="center"/>
    </xf>
    <xf numFmtId="0" fontId="0" fillId="17" borderId="0" xfId="0" applyFill="1" applyAlignment="1">
      <alignment horizontal="right"/>
    </xf>
    <xf numFmtId="0" fontId="108" fillId="18" borderId="0" xfId="0" applyFont="1" applyFill="1"/>
    <xf numFmtId="174" fontId="0" fillId="22" borderId="0" xfId="5" applyNumberFormat="1" applyFont="1" applyFill="1"/>
    <xf numFmtId="169" fontId="0" fillId="17" borderId="0" xfId="0" applyNumberFormat="1" applyFill="1" applyAlignment="1">
      <alignment horizontal="left"/>
    </xf>
    <xf numFmtId="0" fontId="0" fillId="14" borderId="0" xfId="0" applyFill="1"/>
    <xf numFmtId="0" fontId="0" fillId="14" borderId="0" xfId="0" applyFill="1" applyAlignment="1">
      <alignment wrapText="1"/>
    </xf>
    <xf numFmtId="3" fontId="0" fillId="14" borderId="0" xfId="0" applyNumberFormat="1" applyFill="1"/>
    <xf numFmtId="10" fontId="0" fillId="14" borderId="0" xfId="2" applyNumberFormat="1" applyFont="1" applyFill="1"/>
    <xf numFmtId="4" fontId="0" fillId="14" borderId="0" xfId="0" applyNumberFormat="1" applyFill="1"/>
    <xf numFmtId="9" fontId="0" fillId="14" borderId="0" xfId="2" applyFont="1" applyFill="1"/>
    <xf numFmtId="3" fontId="0" fillId="14" borderId="0" xfId="5" applyNumberFormat="1" applyFont="1" applyFill="1"/>
    <xf numFmtId="174" fontId="0" fillId="14" borderId="0" xfId="5" applyNumberFormat="1" applyFont="1" applyFill="1"/>
    <xf numFmtId="174" fontId="0" fillId="14" borderId="0" xfId="0" applyNumberFormat="1" applyFill="1" applyAlignment="1">
      <alignment horizontal="right"/>
    </xf>
    <xf numFmtId="182" fontId="0" fillId="14" borderId="0" xfId="0" applyNumberFormat="1" applyFill="1"/>
    <xf numFmtId="0" fontId="0" fillId="14" borderId="0" xfId="0" applyFill="1" applyAlignment="1">
      <alignment horizontal="right"/>
    </xf>
    <xf numFmtId="171" fontId="0" fillId="14" borderId="0" xfId="0" applyNumberFormat="1" applyFill="1"/>
    <xf numFmtId="169" fontId="0" fillId="14" borderId="0" xfId="5" applyNumberFormat="1" applyFont="1" applyFill="1"/>
    <xf numFmtId="0" fontId="0" fillId="14" borderId="0" xfId="0" quotePrefix="1" applyFill="1"/>
    <xf numFmtId="0" fontId="0" fillId="23" borderId="0" xfId="0" applyFill="1"/>
    <xf numFmtId="3" fontId="0" fillId="23" borderId="0" xfId="0" applyNumberFormat="1" applyFill="1"/>
    <xf numFmtId="4" fontId="0" fillId="23" borderId="0" xfId="0" applyNumberFormat="1" applyFill="1"/>
    <xf numFmtId="182" fontId="0" fillId="23" borderId="0" xfId="0" applyNumberFormat="1" applyFill="1"/>
    <xf numFmtId="0" fontId="0" fillId="23" borderId="0" xfId="0" applyFill="1" applyAlignment="1">
      <alignment horizontal="left"/>
    </xf>
    <xf numFmtId="3" fontId="22" fillId="12" borderId="4" xfId="0" applyNumberFormat="1" applyFont="1" applyFill="1" applyBorder="1" applyAlignment="1" applyProtection="1">
      <alignment horizontal="right"/>
      <protection locked="0"/>
    </xf>
    <xf numFmtId="0" fontId="0" fillId="13" borderId="23" xfId="0" applyFill="1" applyBorder="1"/>
    <xf numFmtId="0" fontId="1" fillId="13" borderId="10" xfId="0" applyFont="1" applyFill="1" applyBorder="1"/>
    <xf numFmtId="0" fontId="1" fillId="13" borderId="24" xfId="0" applyFont="1" applyFill="1" applyBorder="1"/>
    <xf numFmtId="0" fontId="0" fillId="13" borderId="8" xfId="0" applyFill="1" applyBorder="1"/>
    <xf numFmtId="0" fontId="1" fillId="13" borderId="0" xfId="0" applyFont="1" applyFill="1"/>
    <xf numFmtId="0" fontId="1" fillId="13" borderId="25" xfId="0" applyFont="1" applyFill="1" applyBorder="1"/>
    <xf numFmtId="0" fontId="0" fillId="13" borderId="26" xfId="0" applyFill="1" applyBorder="1"/>
    <xf numFmtId="0" fontId="1" fillId="13" borderId="22" xfId="0" applyFont="1" applyFill="1" applyBorder="1"/>
    <xf numFmtId="0" fontId="1" fillId="13" borderId="27" xfId="0" applyFont="1" applyFill="1" applyBorder="1"/>
    <xf numFmtId="10" fontId="4" fillId="0" borderId="0" xfId="2" applyNumberFormat="1" applyFont="1" applyBorder="1" applyAlignment="1">
      <alignment horizontal="center"/>
    </xf>
    <xf numFmtId="169" fontId="1" fillId="0" borderId="0" xfId="0" applyNumberFormat="1" applyFont="1"/>
    <xf numFmtId="0" fontId="0" fillId="14" borderId="0" xfId="0" applyFill="1" applyAlignment="1">
      <alignment horizontal="center" wrapText="1"/>
    </xf>
    <xf numFmtId="0" fontId="0" fillId="14" borderId="0" xfId="0" applyFill="1" applyAlignment="1">
      <alignment horizontal="center"/>
    </xf>
    <xf numFmtId="174" fontId="0" fillId="14" borderId="0" xfId="0" applyNumberFormat="1" applyFill="1"/>
    <xf numFmtId="169" fontId="0" fillId="14" borderId="0" xfId="0" applyNumberFormat="1" applyFill="1"/>
    <xf numFmtId="0" fontId="0" fillId="23" borderId="0" xfId="0" applyFill="1" applyAlignment="1">
      <alignment wrapText="1"/>
    </xf>
    <xf numFmtId="174" fontId="0" fillId="23" borderId="0" xfId="0" applyNumberFormat="1" applyFill="1"/>
    <xf numFmtId="169" fontId="0" fillId="23" borderId="0" xfId="0" applyNumberFormat="1" applyFill="1"/>
    <xf numFmtId="174" fontId="0" fillId="23" borderId="0" xfId="5" applyNumberFormat="1" applyFont="1" applyFill="1"/>
    <xf numFmtId="0" fontId="0" fillId="18" borderId="0" xfId="0" applyFill="1" applyAlignment="1">
      <alignment horizontal="center" wrapText="1"/>
    </xf>
    <xf numFmtId="0" fontId="6" fillId="0" borderId="4" xfId="0" quotePrefix="1" applyFont="1" applyBorder="1"/>
    <xf numFmtId="0" fontId="79" fillId="0" borderId="0" xfId="0" quotePrefix="1" applyFont="1"/>
    <xf numFmtId="0" fontId="45" fillId="0" borderId="4" xfId="0" applyFont="1" applyBorder="1" applyAlignment="1">
      <alignment horizontal="center" wrapText="1"/>
    </xf>
    <xf numFmtId="177" fontId="26" fillId="0" borderId="4" xfId="0" applyNumberFormat="1" applyFont="1" applyBorder="1"/>
    <xf numFmtId="0" fontId="6" fillId="5" borderId="4" xfId="0" applyFont="1" applyFill="1" applyBorder="1"/>
    <xf numFmtId="0" fontId="6" fillId="5" borderId="4" xfId="0" applyFont="1" applyFill="1" applyBorder="1" applyAlignment="1">
      <alignment horizontal="center"/>
    </xf>
    <xf numFmtId="169" fontId="6" fillId="0" borderId="36" xfId="0" applyNumberFormat="1" applyFont="1" applyBorder="1" applyAlignment="1">
      <alignment horizontal="right"/>
    </xf>
    <xf numFmtId="171" fontId="1" fillId="0" borderId="0" xfId="0" applyNumberFormat="1" applyFont="1"/>
    <xf numFmtId="0" fontId="4" fillId="0" borderId="67" xfId="0" applyFont="1" applyBorder="1" applyAlignment="1">
      <alignment horizontal="center"/>
    </xf>
    <xf numFmtId="10" fontId="6" fillId="0" borderId="4" xfId="2" applyNumberFormat="1" applyFont="1" applyBorder="1"/>
    <xf numFmtId="0" fontId="0" fillId="17" borderId="0" xfId="0" applyFill="1" applyAlignment="1">
      <alignment horizontal="right" wrapText="1"/>
    </xf>
    <xf numFmtId="3" fontId="0" fillId="17" borderId="0" xfId="0" applyNumberFormat="1" applyFill="1" applyAlignment="1">
      <alignment horizontal="center" wrapText="1"/>
    </xf>
    <xf numFmtId="3" fontId="0" fillId="5" borderId="0" xfId="0" applyNumberFormat="1" applyFill="1" applyAlignment="1">
      <alignment wrapText="1"/>
    </xf>
    <xf numFmtId="3" fontId="0" fillId="18" borderId="0" xfId="0" applyNumberFormat="1" applyFill="1" applyAlignment="1">
      <alignment horizontal="center" wrapText="1"/>
    </xf>
    <xf numFmtId="1" fontId="0" fillId="17" borderId="0" xfId="5" applyNumberFormat="1" applyFont="1" applyFill="1"/>
    <xf numFmtId="171" fontId="94" fillId="0" borderId="62" xfId="0" applyNumberFormat="1" applyFont="1" applyBorder="1" applyAlignment="1">
      <alignment horizontal="center"/>
    </xf>
    <xf numFmtId="183" fontId="0" fillId="18" borderId="0" xfId="2" applyNumberFormat="1" applyFont="1" applyFill="1" applyAlignment="1">
      <alignment wrapText="1"/>
    </xf>
    <xf numFmtId="0" fontId="41" fillId="0" borderId="40" xfId="0" applyFont="1" applyBorder="1" applyAlignment="1">
      <alignment horizontal="left" indent="1"/>
    </xf>
    <xf numFmtId="1" fontId="79" fillId="0" borderId="0" xfId="0" applyNumberFormat="1" applyFont="1"/>
    <xf numFmtId="177" fontId="79" fillId="0" borderId="0" xfId="2" applyNumberFormat="1" applyFont="1"/>
    <xf numFmtId="169" fontId="79" fillId="0" borderId="0" xfId="0" quotePrefix="1" applyNumberFormat="1" applyFont="1"/>
    <xf numFmtId="0" fontId="119" fillId="0" borderId="0" xfId="0" applyFont="1" applyAlignment="1">
      <alignment horizontal="left" vertical="center" readingOrder="1"/>
    </xf>
    <xf numFmtId="0" fontId="6" fillId="8" borderId="0" xfId="0" applyFont="1" applyFill="1" applyAlignment="1">
      <alignment horizontal="left" indent="1"/>
    </xf>
    <xf numFmtId="0" fontId="19" fillId="2" borderId="38" xfId="0" applyFont="1" applyFill="1" applyBorder="1" applyAlignment="1">
      <alignment horizontal="center"/>
    </xf>
    <xf numFmtId="10" fontId="3" fillId="2" borderId="39" xfId="2" applyNumberFormat="1" applyFont="1" applyFill="1" applyBorder="1" applyAlignment="1">
      <alignment horizontal="right"/>
    </xf>
    <xf numFmtId="8" fontId="45" fillId="0" borderId="0" xfId="0" applyNumberFormat="1" applyFont="1"/>
    <xf numFmtId="1" fontId="6" fillId="0" borderId="0" xfId="0" applyNumberFormat="1" applyFont="1"/>
    <xf numFmtId="4" fontId="49" fillId="12" borderId="4" xfId="0" applyNumberFormat="1" applyFont="1" applyFill="1" applyBorder="1" applyProtection="1">
      <protection locked="0"/>
    </xf>
    <xf numFmtId="3" fontId="26" fillId="0" borderId="39" xfId="5" applyNumberFormat="1" applyFont="1" applyFill="1" applyBorder="1" applyAlignment="1">
      <alignment horizontal="right"/>
    </xf>
    <xf numFmtId="169" fontId="79" fillId="0" borderId="0" xfId="2" applyNumberFormat="1" applyFont="1"/>
    <xf numFmtId="1" fontId="0" fillId="5" borderId="0" xfId="0" quotePrefix="1" applyNumberFormat="1" applyFill="1"/>
    <xf numFmtId="169" fontId="0" fillId="5" borderId="0" xfId="0" quotePrefix="1" applyNumberFormat="1" applyFill="1"/>
    <xf numFmtId="169" fontId="41" fillId="0" borderId="0" xfId="0" applyNumberFormat="1" applyFont="1"/>
    <xf numFmtId="169" fontId="41" fillId="0" borderId="0" xfId="0" applyNumberFormat="1" applyFont="1" applyAlignment="1">
      <alignment wrapText="1"/>
    </xf>
    <xf numFmtId="171" fontId="41" fillId="0" borderId="0" xfId="0" applyNumberFormat="1" applyFont="1"/>
    <xf numFmtId="0" fontId="69" fillId="0" borderId="0" xfId="0" applyFont="1" applyAlignment="1">
      <alignment horizontal="right"/>
    </xf>
    <xf numFmtId="0" fontId="81" fillId="0" borderId="0" xfId="0" applyFont="1" applyAlignment="1">
      <alignment horizontal="right"/>
    </xf>
    <xf numFmtId="169" fontId="122" fillId="0" borderId="0" xfId="0" applyNumberFormat="1" applyFont="1"/>
    <xf numFmtId="0" fontId="122" fillId="0" borderId="0" xfId="0" applyFont="1"/>
    <xf numFmtId="0" fontId="122" fillId="0" borderId="0" xfId="0" applyFont="1" applyAlignment="1">
      <alignment horizontal="center"/>
    </xf>
    <xf numFmtId="10" fontId="122" fillId="0" borderId="0" xfId="2" applyNumberFormat="1" applyFont="1"/>
    <xf numFmtId="164" fontId="122" fillId="0" borderId="0" xfId="2" applyNumberFormat="1" applyFont="1"/>
    <xf numFmtId="9" fontId="79" fillId="0" borderId="0" xfId="0" applyNumberFormat="1" applyFont="1"/>
    <xf numFmtId="0" fontId="74" fillId="0" borderId="4" xfId="0" applyFont="1" applyBorder="1"/>
    <xf numFmtId="0" fontId="74" fillId="0" borderId="4" xfId="0" applyFont="1" applyBorder="1" applyAlignment="1">
      <alignment horizontal="center"/>
    </xf>
    <xf numFmtId="0" fontId="124" fillId="0" borderId="4" xfId="0" applyFont="1" applyBorder="1"/>
    <xf numFmtId="0" fontId="124" fillId="0" borderId="4" xfId="0" applyFont="1" applyBorder="1" applyAlignment="1">
      <alignment horizontal="center"/>
    </xf>
    <xf numFmtId="0" fontId="124" fillId="0" borderId="0" xfId="0" applyFont="1" applyAlignment="1">
      <alignment horizontal="center" wrapText="1"/>
    </xf>
    <xf numFmtId="0" fontId="125" fillId="0" borderId="0" xfId="0" applyFont="1"/>
    <xf numFmtId="0" fontId="126" fillId="0" borderId="4" xfId="0" applyFont="1" applyBorder="1"/>
    <xf numFmtId="0" fontId="127" fillId="0" borderId="4" xfId="0" applyFont="1" applyBorder="1"/>
    <xf numFmtId="0" fontId="126" fillId="0" borderId="0" xfId="0" applyFont="1"/>
    <xf numFmtId="3" fontId="0" fillId="0" borderId="0" xfId="5" applyNumberFormat="1" applyFont="1" applyFill="1" applyBorder="1" applyAlignment="1" applyProtection="1">
      <alignment horizontal="right" indent="2"/>
      <protection locked="0"/>
    </xf>
    <xf numFmtId="10" fontId="45" fillId="0" borderId="0" xfId="0" applyNumberFormat="1" applyFont="1"/>
    <xf numFmtId="6" fontId="6" fillId="0" borderId="0" xfId="0" applyNumberFormat="1" applyFont="1" applyAlignment="1">
      <alignment horizontal="right"/>
    </xf>
    <xf numFmtId="9" fontId="6" fillId="0" borderId="0" xfId="2" applyFont="1"/>
    <xf numFmtId="3" fontId="41" fillId="0" borderId="0" xfId="0" applyNumberFormat="1" applyFont="1" applyAlignment="1">
      <alignment horizontal="center"/>
    </xf>
    <xf numFmtId="164" fontId="79" fillId="0" borderId="4" xfId="2" applyNumberFormat="1" applyFont="1" applyBorder="1" applyProtection="1">
      <protection locked="0"/>
    </xf>
    <xf numFmtId="9" fontId="107" fillId="12" borderId="4" xfId="2" applyFont="1" applyFill="1" applyBorder="1" applyAlignment="1" applyProtection="1">
      <alignment horizontal="right"/>
      <protection locked="0"/>
    </xf>
    <xf numFmtId="164" fontId="26" fillId="0" borderId="41" xfId="2" applyNumberFormat="1" applyFont="1" applyFill="1" applyBorder="1" applyAlignment="1" applyProtection="1">
      <alignment horizontal="right"/>
      <protection locked="0"/>
    </xf>
    <xf numFmtId="164" fontId="6" fillId="0" borderId="4" xfId="0" applyNumberFormat="1" applyFont="1" applyBorder="1" applyProtection="1">
      <protection locked="0"/>
    </xf>
    <xf numFmtId="0" fontId="1" fillId="0" borderId="4" xfId="0" applyFont="1" applyBorder="1" applyAlignment="1">
      <alignment horizontal="center"/>
    </xf>
    <xf numFmtId="1" fontId="22" fillId="12" borderId="4" xfId="0" applyNumberFormat="1" applyFont="1" applyFill="1" applyBorder="1" applyProtection="1">
      <protection locked="0"/>
    </xf>
    <xf numFmtId="0" fontId="4" fillId="2" borderId="6" xfId="0" applyFont="1" applyFill="1" applyBorder="1" applyAlignment="1">
      <alignment horizontal="center"/>
    </xf>
    <xf numFmtId="169" fontId="22" fillId="12" borderId="67" xfId="0" applyNumberFormat="1" applyFont="1" applyFill="1" applyBorder="1" applyAlignment="1" applyProtection="1">
      <alignment horizontal="right"/>
      <protection locked="0"/>
    </xf>
    <xf numFmtId="9" fontId="6" fillId="0" borderId="4" xfId="0" applyNumberFormat="1" applyFont="1" applyBorder="1" applyAlignment="1">
      <alignment horizontal="center"/>
    </xf>
    <xf numFmtId="169" fontId="6" fillId="0" borderId="4" xfId="0" applyNumberFormat="1" applyFont="1" applyBorder="1"/>
    <xf numFmtId="0" fontId="3" fillId="0" borderId="4" xfId="0" applyFont="1" applyBorder="1"/>
    <xf numFmtId="169" fontId="3" fillId="0" borderId="4" xfId="0" applyNumberFormat="1" applyFont="1" applyBorder="1"/>
    <xf numFmtId="0" fontId="44" fillId="0" borderId="4" xfId="0" applyFont="1" applyBorder="1"/>
    <xf numFmtId="0" fontId="19" fillId="0" borderId="2" xfId="0" applyFont="1" applyBorder="1" applyAlignment="1">
      <alignment horizontal="center"/>
    </xf>
    <xf numFmtId="166" fontId="19" fillId="0" borderId="3" xfId="0" applyNumberFormat="1" applyFont="1" applyBorder="1" applyAlignment="1">
      <alignment horizontal="center"/>
    </xf>
    <xf numFmtId="0" fontId="6" fillId="0" borderId="1" xfId="0" applyFont="1" applyBorder="1"/>
    <xf numFmtId="164" fontId="6" fillId="0" borderId="0" xfId="0" applyNumberFormat="1" applyFont="1"/>
    <xf numFmtId="10" fontId="6" fillId="0" borderId="0" xfId="2" applyNumberFormat="1" applyFont="1" applyBorder="1"/>
    <xf numFmtId="2" fontId="26" fillId="0" borderId="4" xfId="2" applyNumberFormat="1" applyFont="1" applyFill="1" applyBorder="1" applyAlignment="1">
      <alignment horizontal="right"/>
    </xf>
    <xf numFmtId="164" fontId="26" fillId="0" borderId="44" xfId="2" applyNumberFormat="1" applyFont="1" applyFill="1" applyBorder="1" applyAlignment="1">
      <alignment horizontal="right"/>
    </xf>
    <xf numFmtId="0" fontId="14" fillId="5" borderId="14" xfId="0" applyFont="1" applyFill="1" applyBorder="1" applyAlignment="1">
      <alignment horizontal="center"/>
    </xf>
    <xf numFmtId="169" fontId="26" fillId="0" borderId="4" xfId="0" applyNumberFormat="1" applyFont="1" applyBorder="1" applyAlignment="1">
      <alignment horizontal="right"/>
    </xf>
    <xf numFmtId="6" fontId="6" fillId="0" borderId="4" xfId="0" applyNumberFormat="1" applyFont="1" applyBorder="1" applyAlignment="1">
      <alignment horizontal="right"/>
    </xf>
    <xf numFmtId="169" fontId="6" fillId="0" borderId="4" xfId="0" applyNumberFormat="1" applyFont="1" applyBorder="1" applyAlignment="1">
      <alignment horizontal="right"/>
    </xf>
    <xf numFmtId="0" fontId="0" fillId="5" borderId="0" xfId="0" applyFill="1" applyAlignment="1">
      <alignment horizontal="right"/>
    </xf>
    <xf numFmtId="43" fontId="0" fillId="17" borderId="0" xfId="5" applyFont="1" applyFill="1"/>
    <xf numFmtId="186" fontId="0" fillId="17" borderId="0" xfId="5" applyNumberFormat="1" applyFont="1" applyFill="1"/>
    <xf numFmtId="3" fontId="73" fillId="0" borderId="4" xfId="0" applyNumberFormat="1" applyFont="1" applyBorder="1" applyAlignment="1" applyProtection="1">
      <alignment horizontal="center"/>
      <protection locked="0"/>
    </xf>
    <xf numFmtId="10" fontId="22" fillId="12" borderId="4" xfId="2" applyNumberFormat="1" applyFont="1" applyFill="1" applyBorder="1" applyProtection="1">
      <protection locked="0"/>
    </xf>
    <xf numFmtId="10" fontId="26" fillId="0" borderId="4" xfId="2" applyNumberFormat="1" applyFont="1" applyFill="1" applyBorder="1" applyProtection="1"/>
    <xf numFmtId="3" fontId="22" fillId="12" borderId="4" xfId="2" applyNumberFormat="1" applyFont="1" applyFill="1" applyBorder="1" applyProtection="1">
      <protection locked="0"/>
    </xf>
    <xf numFmtId="0" fontId="4" fillId="0" borderId="4" xfId="0" applyFont="1" applyBorder="1" applyAlignment="1">
      <alignment horizontal="left" indent="1"/>
    </xf>
    <xf numFmtId="3" fontId="62" fillId="0" borderId="4" xfId="0" applyNumberFormat="1" applyFont="1" applyBorder="1" applyAlignment="1">
      <alignment horizontal="right"/>
    </xf>
    <xf numFmtId="0" fontId="44" fillId="5" borderId="12" xfId="0" applyFont="1" applyFill="1" applyBorder="1" applyAlignment="1">
      <alignment vertical="center"/>
    </xf>
    <xf numFmtId="0" fontId="44" fillId="5" borderId="13" xfId="0" applyFont="1" applyFill="1" applyBorder="1" applyAlignment="1">
      <alignment vertical="center"/>
    </xf>
    <xf numFmtId="0" fontId="44" fillId="5" borderId="14" xfId="0" applyFont="1" applyFill="1" applyBorder="1" applyAlignment="1">
      <alignment vertical="center"/>
    </xf>
    <xf numFmtId="0" fontId="74" fillId="0" borderId="13" xfId="0" applyFont="1" applyBorder="1"/>
    <xf numFmtId="0" fontId="74" fillId="0" borderId="13" xfId="0" applyFont="1" applyBorder="1" applyAlignment="1">
      <alignment horizontal="center"/>
    </xf>
    <xf numFmtId="0" fontId="73" fillId="0" borderId="13" xfId="0" applyFont="1" applyBorder="1" applyAlignment="1">
      <alignment horizontal="center"/>
    </xf>
    <xf numFmtId="171" fontId="49" fillId="0" borderId="13" xfId="0" applyNumberFormat="1" applyFont="1" applyBorder="1" applyProtection="1">
      <protection locked="0"/>
    </xf>
    <xf numFmtId="9" fontId="0" fillId="18" borderId="0" xfId="2" applyFont="1" applyFill="1" applyAlignment="1">
      <alignment wrapText="1"/>
    </xf>
    <xf numFmtId="1" fontId="0" fillId="18" borderId="0" xfId="2" applyNumberFormat="1" applyFont="1" applyFill="1"/>
    <xf numFmtId="0" fontId="102" fillId="0" borderId="4" xfId="0" applyFont="1" applyBorder="1"/>
    <xf numFmtId="0" fontId="127" fillId="0" borderId="0" xfId="0" applyFont="1"/>
    <xf numFmtId="1" fontId="0" fillId="0" borderId="0" xfId="0" quotePrefix="1" applyNumberFormat="1"/>
    <xf numFmtId="169" fontId="0" fillId="18" borderId="0" xfId="2" applyNumberFormat="1" applyFont="1" applyFill="1"/>
    <xf numFmtId="3" fontId="0" fillId="12" borderId="0" xfId="0" applyNumberFormat="1" applyFill="1" applyProtection="1">
      <protection locked="0"/>
    </xf>
    <xf numFmtId="177" fontId="26" fillId="0" borderId="12" xfId="0" applyNumberFormat="1" applyFont="1" applyBorder="1"/>
    <xf numFmtId="171" fontId="49" fillId="12" borderId="12" xfId="0" applyNumberFormat="1" applyFont="1" applyFill="1" applyBorder="1" applyProtection="1">
      <protection locked="0"/>
    </xf>
    <xf numFmtId="3" fontId="124" fillId="12" borderId="4" xfId="0" applyNumberFormat="1" applyFont="1" applyFill="1" applyBorder="1" applyAlignment="1" applyProtection="1">
      <alignment horizontal="center"/>
      <protection locked="0"/>
    </xf>
    <xf numFmtId="3" fontId="74" fillId="12" borderId="4" xfId="0" applyNumberFormat="1" applyFont="1" applyFill="1" applyBorder="1" applyAlignment="1" applyProtection="1">
      <alignment horizontal="center"/>
      <protection locked="0"/>
    </xf>
    <xf numFmtId="169" fontId="0" fillId="0" borderId="4" xfId="0" applyNumberFormat="1" applyBorder="1"/>
    <xf numFmtId="1" fontId="0" fillId="12" borderId="4" xfId="0" applyNumberFormat="1" applyFill="1" applyBorder="1" applyAlignment="1" applyProtection="1">
      <alignment horizontal="center"/>
      <protection locked="0"/>
    </xf>
    <xf numFmtId="0" fontId="3" fillId="0" borderId="40" xfId="0" applyFont="1" applyBorder="1"/>
    <xf numFmtId="169" fontId="130" fillId="0" borderId="0" xfId="0" applyNumberFormat="1" applyFont="1" applyProtection="1">
      <protection locked="0"/>
    </xf>
    <xf numFmtId="169" fontId="129" fillId="0" borderId="0" xfId="0" applyNumberFormat="1" applyFont="1" applyAlignment="1" applyProtection="1">
      <alignment horizontal="right"/>
      <protection locked="0"/>
    </xf>
    <xf numFmtId="169" fontId="130" fillId="0" borderId="0" xfId="0" applyNumberFormat="1" applyFont="1" applyAlignment="1" applyProtection="1">
      <alignment horizontal="right"/>
      <protection locked="0"/>
    </xf>
    <xf numFmtId="3" fontId="3" fillId="5" borderId="4" xfId="0" applyNumberFormat="1" applyFont="1" applyFill="1" applyBorder="1" applyAlignment="1">
      <alignment horizontal="left"/>
    </xf>
    <xf numFmtId="0" fontId="0" fillId="0" borderId="4" xfId="0" applyBorder="1" applyAlignment="1">
      <alignment horizontal="left"/>
    </xf>
    <xf numFmtId="0" fontId="73" fillId="0" borderId="17" xfId="0" applyFont="1" applyBorder="1" applyAlignment="1">
      <alignment horizontal="center"/>
    </xf>
    <xf numFmtId="0" fontId="0" fillId="0" borderId="17" xfId="0" applyBorder="1"/>
    <xf numFmtId="171" fontId="26" fillId="0" borderId="0" xfId="0" applyNumberFormat="1" applyFont="1"/>
    <xf numFmtId="169" fontId="49" fillId="12" borderId="32" xfId="0" applyNumberFormat="1" applyFont="1" applyFill="1" applyBorder="1" applyAlignment="1" applyProtection="1">
      <alignment horizontal="right"/>
      <protection locked="0"/>
    </xf>
    <xf numFmtId="180" fontId="49" fillId="12" borderId="32" xfId="0" applyNumberFormat="1" applyFont="1" applyFill="1" applyBorder="1" applyAlignment="1" applyProtection="1">
      <alignment horizontal="right"/>
      <protection locked="0"/>
    </xf>
    <xf numFmtId="169" fontId="105" fillId="0" borderId="0" xfId="0" applyNumberFormat="1" applyFont="1" applyAlignment="1" applyProtection="1">
      <alignment horizontal="right"/>
      <protection locked="0"/>
    </xf>
    <xf numFmtId="169" fontId="59" fillId="0" borderId="0" xfId="0" applyNumberFormat="1" applyFont="1"/>
    <xf numFmtId="0" fontId="131" fillId="0" borderId="0" xfId="3" applyNumberFormat="1" applyFont="1" applyBorder="1" applyAlignment="1" applyProtection="1">
      <alignment vertical="center"/>
    </xf>
    <xf numFmtId="0" fontId="45" fillId="0" borderId="56" xfId="0" applyFont="1" applyBorder="1"/>
    <xf numFmtId="0" fontId="45" fillId="0" borderId="10" xfId="0" applyFont="1" applyBorder="1"/>
    <xf numFmtId="0" fontId="47" fillId="0" borderId="40" xfId="0" applyFont="1" applyBorder="1" applyAlignment="1">
      <alignment horizontal="center"/>
    </xf>
    <xf numFmtId="169" fontId="26" fillId="0" borderId="32" xfId="0" applyNumberFormat="1" applyFont="1" applyBorder="1" applyAlignment="1">
      <alignment horizontal="right"/>
    </xf>
    <xf numFmtId="0" fontId="20" fillId="0" borderId="29" xfId="0" applyFont="1" applyBorder="1" applyAlignment="1">
      <alignment horizontal="center" wrapText="1"/>
    </xf>
    <xf numFmtId="0" fontId="20" fillId="0" borderId="52" xfId="0" applyFont="1" applyBorder="1" applyAlignment="1">
      <alignment horizontal="center" wrapText="1"/>
    </xf>
    <xf numFmtId="0" fontId="20" fillId="0" borderId="31" xfId="0" applyFont="1" applyBorder="1" applyAlignment="1">
      <alignment horizontal="center" wrapText="1"/>
    </xf>
    <xf numFmtId="0" fontId="45" fillId="0" borderId="37" xfId="0" applyFont="1" applyBorder="1"/>
    <xf numFmtId="0" fontId="45" fillId="0" borderId="40" xfId="0" applyFont="1" applyBorder="1" applyAlignment="1">
      <alignment horizontal="left"/>
    </xf>
    <xf numFmtId="0" fontId="45" fillId="0" borderId="45" xfId="0" applyFont="1" applyBorder="1"/>
    <xf numFmtId="0" fontId="45" fillId="0" borderId="37" xfId="0" applyFont="1" applyBorder="1" applyAlignment="1">
      <alignment horizontal="left"/>
    </xf>
    <xf numFmtId="0" fontId="45" fillId="0" borderId="42" xfId="0" applyFont="1" applyBorder="1" applyAlignment="1">
      <alignment horizontal="left"/>
    </xf>
    <xf numFmtId="0" fontId="45" fillId="2" borderId="42" xfId="0" applyFont="1" applyFill="1" applyBorder="1"/>
    <xf numFmtId="0" fontId="45" fillId="2" borderId="4" xfId="0" applyFont="1" applyFill="1" applyBorder="1"/>
    <xf numFmtId="0" fontId="45" fillId="0" borderId="23" xfId="0" applyFont="1" applyBorder="1"/>
    <xf numFmtId="0" fontId="45" fillId="2" borderId="40" xfId="0" applyFont="1" applyFill="1" applyBorder="1"/>
    <xf numFmtId="0" fontId="45" fillId="0" borderId="40" xfId="0" applyFont="1" applyBorder="1"/>
    <xf numFmtId="0" fontId="45" fillId="0" borderId="42" xfId="0" applyFont="1" applyBorder="1"/>
    <xf numFmtId="0" fontId="45" fillId="2" borderId="37" xfId="0" applyFont="1" applyFill="1" applyBorder="1"/>
    <xf numFmtId="0" fontId="44" fillId="0" borderId="46" xfId="0" applyFont="1" applyBorder="1"/>
    <xf numFmtId="0" fontId="44" fillId="0" borderId="56" xfId="0" applyFont="1" applyBorder="1"/>
    <xf numFmtId="0" fontId="45" fillId="0" borderId="30" xfId="0" applyFont="1" applyBorder="1"/>
    <xf numFmtId="0" fontId="45" fillId="0" borderId="47" xfId="0" applyFont="1" applyBorder="1"/>
    <xf numFmtId="0" fontId="45" fillId="0" borderId="54" xfId="0" applyFont="1" applyBorder="1"/>
    <xf numFmtId="0" fontId="45" fillId="0" borderId="66" xfId="0" applyFont="1" applyBorder="1"/>
    <xf numFmtId="0" fontId="122" fillId="0" borderId="0" xfId="0" applyFont="1" applyAlignment="1">
      <alignment wrapText="1"/>
    </xf>
    <xf numFmtId="3" fontId="122" fillId="0" borderId="0" xfId="0" applyNumberFormat="1" applyFont="1" applyAlignment="1">
      <alignment horizontal="right"/>
    </xf>
    <xf numFmtId="182" fontId="122" fillId="0" borderId="0" xfId="0" applyNumberFormat="1" applyFont="1" applyAlignment="1">
      <alignment horizontal="right"/>
    </xf>
    <xf numFmtId="182" fontId="122" fillId="0" borderId="0" xfId="0" applyNumberFormat="1" applyFont="1"/>
    <xf numFmtId="164" fontId="122" fillId="0" borderId="0" xfId="2" applyNumberFormat="1" applyFont="1" applyAlignment="1">
      <alignment horizontal="right"/>
    </xf>
    <xf numFmtId="164" fontId="122" fillId="0" borderId="0" xfId="0" applyNumberFormat="1" applyFont="1"/>
    <xf numFmtId="10" fontId="122" fillId="0" borderId="0" xfId="0" applyNumberFormat="1" applyFont="1"/>
    <xf numFmtId="3" fontId="122" fillId="0" borderId="0" xfId="0" applyNumberFormat="1" applyFont="1"/>
    <xf numFmtId="183" fontId="122" fillId="0" borderId="0" xfId="0" applyNumberFormat="1" applyFont="1"/>
    <xf numFmtId="9" fontId="122" fillId="0" borderId="0" xfId="2" applyFont="1"/>
    <xf numFmtId="6" fontId="122" fillId="0" borderId="0" xfId="0" applyNumberFormat="1" applyFont="1"/>
    <xf numFmtId="164" fontId="26" fillId="0" borderId="4" xfId="2" applyNumberFormat="1" applyFont="1" applyFill="1" applyBorder="1" applyProtection="1">
      <protection locked="0"/>
    </xf>
    <xf numFmtId="164" fontId="0" fillId="0" borderId="0" xfId="0" applyNumberFormat="1" applyAlignment="1">
      <alignment horizontal="right"/>
    </xf>
    <xf numFmtId="0" fontId="0" fillId="23" borderId="0" xfId="0" applyFill="1" applyAlignment="1">
      <alignment horizontal="center" wrapText="1"/>
    </xf>
    <xf numFmtId="0" fontId="0" fillId="23" borderId="0" xfId="0" applyFill="1" applyAlignment="1">
      <alignment horizontal="center"/>
    </xf>
    <xf numFmtId="3" fontId="0" fillId="17" borderId="0" xfId="2" applyNumberFormat="1" applyFont="1" applyFill="1"/>
    <xf numFmtId="9" fontId="0" fillId="0" borderId="0" xfId="0" applyNumberFormat="1" applyAlignment="1">
      <alignment vertical="center"/>
    </xf>
    <xf numFmtId="0" fontId="40" fillId="0" borderId="4" xfId="0" applyFont="1" applyBorder="1"/>
    <xf numFmtId="2" fontId="22" fillId="12" borderId="32" xfId="2" applyNumberFormat="1" applyFont="1" applyFill="1" applyBorder="1" applyAlignment="1" applyProtection="1">
      <alignment horizontal="right"/>
      <protection locked="0"/>
    </xf>
    <xf numFmtId="0" fontId="41" fillId="0" borderId="0" xfId="0" applyFont="1" applyAlignment="1">
      <alignment horizontal="left" vertical="center" wrapText="1"/>
    </xf>
    <xf numFmtId="0" fontId="41" fillId="0" borderId="0" xfId="0" applyFont="1" applyAlignment="1">
      <alignment horizontal="left" vertical="center"/>
    </xf>
    <xf numFmtId="14" fontId="41" fillId="0" borderId="0" xfId="0" applyNumberFormat="1" applyFont="1" applyAlignment="1" applyProtection="1">
      <alignment horizontal="left" vertical="center"/>
      <protection locked="0"/>
    </xf>
    <xf numFmtId="0" fontId="110" fillId="20" borderId="0" xfId="0" applyFont="1" applyFill="1" applyAlignment="1">
      <alignment horizontal="center" vertical="center"/>
    </xf>
    <xf numFmtId="0" fontId="112" fillId="0" borderId="0" xfId="3" applyFont="1" applyAlignment="1" applyProtection="1">
      <alignment horizontal="left" vertical="center"/>
    </xf>
    <xf numFmtId="0" fontId="41" fillId="0" borderId="0" xfId="0" applyFont="1" applyAlignment="1">
      <alignment horizontal="center" vertical="center"/>
    </xf>
    <xf numFmtId="0" fontId="62" fillId="5" borderId="15" xfId="0" applyFont="1" applyFill="1" applyBorder="1" applyAlignment="1">
      <alignment horizontal="left" vertical="center" wrapText="1"/>
    </xf>
    <xf numFmtId="0" fontId="62" fillId="5" borderId="9" xfId="0" applyFont="1" applyFill="1" applyBorder="1" applyAlignment="1">
      <alignment horizontal="left" vertical="center" wrapText="1"/>
    </xf>
    <xf numFmtId="0" fontId="62" fillId="5" borderId="16" xfId="0" applyFont="1" applyFill="1" applyBorder="1" applyAlignment="1">
      <alignment horizontal="left" vertical="center" wrapText="1"/>
    </xf>
    <xf numFmtId="0" fontId="111" fillId="0" borderId="12" xfId="0" applyFont="1" applyBorder="1" applyAlignment="1">
      <alignment horizontal="left" vertical="top" wrapText="1"/>
    </xf>
    <xf numFmtId="0" fontId="111" fillId="0" borderId="13" xfId="0" applyFont="1" applyBorder="1" applyAlignment="1">
      <alignment horizontal="left" vertical="top" wrapText="1"/>
    </xf>
    <xf numFmtId="0" fontId="111" fillId="0" borderId="14" xfId="0" applyFont="1" applyBorder="1" applyAlignment="1">
      <alignment horizontal="left" vertical="top" wrapText="1"/>
    </xf>
    <xf numFmtId="0" fontId="40" fillId="5" borderId="12" xfId="0" applyFont="1" applyFill="1" applyBorder="1" applyAlignment="1">
      <alignment horizontal="left" wrapText="1"/>
    </xf>
    <xf numFmtId="0" fontId="40" fillId="5" borderId="13" xfId="0" applyFont="1" applyFill="1" applyBorder="1" applyAlignment="1">
      <alignment horizontal="left" wrapText="1"/>
    </xf>
    <xf numFmtId="0" fontId="40" fillId="5" borderId="14" xfId="0" applyFont="1" applyFill="1" applyBorder="1" applyAlignment="1">
      <alignment horizontal="left" wrapText="1"/>
    </xf>
    <xf numFmtId="0" fontId="51" fillId="20" borderId="12" xfId="0" applyFont="1" applyFill="1" applyBorder="1" applyAlignment="1">
      <alignment horizontal="left" vertical="top" wrapText="1"/>
    </xf>
    <xf numFmtId="0" fontId="51" fillId="20" borderId="13" xfId="0" applyFont="1" applyFill="1" applyBorder="1" applyAlignment="1">
      <alignment horizontal="left" vertical="top" wrapText="1"/>
    </xf>
    <xf numFmtId="0" fontId="51" fillId="20" borderId="14" xfId="0" applyFont="1" applyFill="1" applyBorder="1" applyAlignment="1">
      <alignment horizontal="left" vertical="top" wrapText="1"/>
    </xf>
    <xf numFmtId="0" fontId="62" fillId="0" borderId="12" xfId="0" applyFont="1" applyBorder="1" applyAlignment="1">
      <alignment horizontal="left" vertical="top" wrapText="1"/>
    </xf>
    <xf numFmtId="0" fontId="62" fillId="0" borderId="13" xfId="0" applyFont="1" applyBorder="1" applyAlignment="1">
      <alignment horizontal="left" vertical="top" wrapText="1"/>
    </xf>
    <xf numFmtId="0" fontId="62" fillId="0" borderId="14" xfId="0" applyFont="1" applyBorder="1" applyAlignment="1">
      <alignment horizontal="left" vertical="top" wrapText="1"/>
    </xf>
    <xf numFmtId="0" fontId="62" fillId="0" borderId="17" xfId="0" applyFont="1" applyBorder="1" applyAlignment="1">
      <alignment horizontal="left" vertical="top" wrapText="1"/>
    </xf>
    <xf numFmtId="0" fontId="62" fillId="0" borderId="0" xfId="0" applyFont="1" applyAlignment="1">
      <alignment horizontal="left" vertical="top" wrapText="1"/>
    </xf>
    <xf numFmtId="0" fontId="62" fillId="0" borderId="18" xfId="0" applyFont="1" applyBorder="1" applyAlignment="1">
      <alignment horizontal="left" vertical="top" wrapText="1"/>
    </xf>
    <xf numFmtId="164" fontId="22" fillId="0" borderId="19" xfId="2" applyNumberFormat="1" applyFont="1" applyFill="1" applyBorder="1" applyAlignment="1">
      <alignment horizontal="center"/>
    </xf>
    <xf numFmtId="164" fontId="22" fillId="0" borderId="11" xfId="2" applyNumberFormat="1" applyFont="1" applyFill="1" applyBorder="1" applyAlignment="1">
      <alignment horizontal="center"/>
    </xf>
    <xf numFmtId="164" fontId="22" fillId="0" borderId="20" xfId="2" applyNumberFormat="1" applyFont="1" applyFill="1" applyBorder="1" applyAlignment="1">
      <alignment horizontal="center"/>
    </xf>
    <xf numFmtId="164" fontId="22" fillId="0" borderId="60" xfId="2" applyNumberFormat="1" applyFont="1" applyFill="1" applyBorder="1" applyAlignment="1">
      <alignment horizontal="center"/>
    </xf>
    <xf numFmtId="164" fontId="22" fillId="0" borderId="22" xfId="2" applyNumberFormat="1" applyFont="1" applyFill="1" applyBorder="1" applyAlignment="1">
      <alignment horizontal="center"/>
    </xf>
    <xf numFmtId="164" fontId="22" fillId="0" borderId="61" xfId="2" applyNumberFormat="1" applyFont="1" applyFill="1" applyBorder="1" applyAlignment="1">
      <alignment horizontal="center"/>
    </xf>
    <xf numFmtId="0" fontId="8" fillId="5" borderId="2" xfId="0" applyFont="1" applyFill="1" applyBorder="1" applyAlignment="1">
      <alignment horizontal="center" vertical="center"/>
    </xf>
    <xf numFmtId="0" fontId="8" fillId="5" borderId="10" xfId="0" applyFont="1" applyFill="1" applyBorder="1" applyAlignment="1">
      <alignment horizontal="center" vertical="center"/>
    </xf>
    <xf numFmtId="164" fontId="22" fillId="0" borderId="12" xfId="2" applyNumberFormat="1" applyFont="1" applyFill="1" applyBorder="1" applyAlignment="1">
      <alignment horizontal="center"/>
    </xf>
    <xf numFmtId="164" fontId="22" fillId="0" borderId="13" xfId="2" applyNumberFormat="1" applyFont="1" applyFill="1" applyBorder="1" applyAlignment="1">
      <alignment horizontal="center"/>
    </xf>
    <xf numFmtId="164" fontId="22" fillId="0" borderId="14" xfId="2" applyNumberFormat="1" applyFont="1" applyFill="1" applyBorder="1" applyAlignment="1">
      <alignment horizontal="center"/>
    </xf>
    <xf numFmtId="0" fontId="20" fillId="0" borderId="52" xfId="0" applyFont="1" applyBorder="1" applyAlignment="1">
      <alignment horizontal="center" wrapText="1"/>
    </xf>
    <xf numFmtId="0" fontId="20" fillId="0" borderId="2" xfId="0" applyFont="1" applyBorder="1" applyAlignment="1">
      <alignment horizontal="center" wrapText="1"/>
    </xf>
    <xf numFmtId="0" fontId="20" fillId="0" borderId="49" xfId="0" applyFont="1" applyBorder="1" applyAlignment="1">
      <alignment horizontal="center" wrapText="1"/>
    </xf>
    <xf numFmtId="164" fontId="22" fillId="0" borderId="52" xfId="2" applyNumberFormat="1" applyFont="1" applyFill="1" applyBorder="1" applyAlignment="1">
      <alignment horizontal="center"/>
    </xf>
    <xf numFmtId="164" fontId="22" fillId="0" borderId="2" xfId="2" applyNumberFormat="1" applyFont="1" applyFill="1" applyBorder="1" applyAlignment="1">
      <alignment horizontal="center"/>
    </xf>
    <xf numFmtId="164" fontId="22" fillId="0" borderId="49" xfId="2" applyNumberFormat="1" applyFont="1" applyFill="1" applyBorder="1" applyAlignment="1">
      <alignment horizontal="center"/>
    </xf>
    <xf numFmtId="164" fontId="22" fillId="0" borderId="53" xfId="2" applyNumberFormat="1" applyFont="1" applyFill="1" applyBorder="1" applyAlignment="1">
      <alignment horizontal="center"/>
    </xf>
    <xf numFmtId="164" fontId="22" fillId="0" borderId="50" xfId="2" applyNumberFormat="1" applyFont="1" applyFill="1" applyBorder="1" applyAlignment="1">
      <alignment horizontal="center"/>
    </xf>
    <xf numFmtId="164" fontId="22" fillId="0" borderId="48" xfId="2" applyNumberFormat="1" applyFont="1" applyFill="1" applyBorder="1" applyAlignment="1">
      <alignment horizontal="center"/>
    </xf>
    <xf numFmtId="171" fontId="128" fillId="12" borderId="12" xfId="2" applyNumberFormat="1" applyFont="1" applyFill="1" applyBorder="1" applyAlignment="1" applyProtection="1">
      <alignment horizontal="left" wrapText="1"/>
      <protection locked="0"/>
    </xf>
    <xf numFmtId="171" fontId="128" fillId="12" borderId="13" xfId="2" applyNumberFormat="1" applyFont="1" applyFill="1" applyBorder="1" applyAlignment="1" applyProtection="1">
      <alignment horizontal="left" wrapText="1"/>
      <protection locked="0"/>
    </xf>
    <xf numFmtId="171" fontId="128" fillId="12" borderId="14" xfId="2" applyNumberFormat="1" applyFont="1" applyFill="1" applyBorder="1" applyAlignment="1" applyProtection="1">
      <alignment horizontal="left" wrapText="1"/>
      <protection locked="0"/>
    </xf>
    <xf numFmtId="0" fontId="86" fillId="5" borderId="50" xfId="0" applyFont="1" applyFill="1" applyBorder="1" applyAlignment="1">
      <alignment horizontal="center" vertical="center"/>
    </xf>
    <xf numFmtId="0" fontId="90" fillId="15" borderId="0" xfId="6" applyFont="1" applyFill="1" applyAlignment="1">
      <alignment horizontal="center"/>
    </xf>
    <xf numFmtId="171" fontId="95" fillId="5" borderId="0" xfId="0" applyNumberFormat="1" applyFont="1" applyFill="1" applyAlignment="1">
      <alignment horizontal="center" vertical="center" textRotation="90"/>
    </xf>
    <xf numFmtId="0" fontId="46" fillId="0" borderId="12" xfId="0" applyFont="1" applyBorder="1" applyAlignment="1">
      <alignment horizontal="center" vertical="center" wrapText="1"/>
    </xf>
    <xf numFmtId="0" fontId="46" fillId="0" borderId="13" xfId="0" applyFont="1" applyBorder="1" applyAlignment="1">
      <alignment horizontal="center" vertical="center" wrapText="1"/>
    </xf>
    <xf numFmtId="0" fontId="46" fillId="0" borderId="14" xfId="0" applyFont="1" applyBorder="1" applyAlignment="1">
      <alignment horizontal="center" vertical="center" wrapText="1"/>
    </xf>
    <xf numFmtId="0" fontId="48" fillId="6" borderId="1" xfId="0" applyFont="1" applyFill="1" applyBorder="1" applyAlignment="1">
      <alignment horizontal="center" vertical="center" wrapText="1"/>
    </xf>
    <xf numFmtId="0" fontId="48" fillId="6" borderId="2"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0" fillId="0" borderId="0" xfId="0" applyAlignment="1">
      <alignment vertical="center" wrapText="1"/>
    </xf>
    <xf numFmtId="0" fontId="0" fillId="0" borderId="0" xfId="0"/>
    <xf numFmtId="0" fontId="0" fillId="0" borderId="0" xfId="0" applyAlignment="1">
      <alignment vertical="center"/>
    </xf>
    <xf numFmtId="0" fontId="57" fillId="0" borderId="19"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20" xfId="0" applyFont="1" applyBorder="1" applyAlignment="1">
      <alignment horizontal="center" vertical="center" wrapText="1"/>
    </xf>
    <xf numFmtId="0" fontId="57" fillId="0" borderId="16" xfId="0" applyFont="1" applyBorder="1" applyAlignment="1">
      <alignment horizontal="center" vertical="center" wrapText="1"/>
    </xf>
    <xf numFmtId="0" fontId="57" fillId="0" borderId="12" xfId="0" applyFont="1" applyBorder="1" applyAlignment="1">
      <alignment horizontal="center"/>
    </xf>
    <xf numFmtId="0" fontId="57" fillId="0" borderId="14" xfId="0" applyFont="1" applyBorder="1" applyAlignment="1">
      <alignment horizontal="center"/>
    </xf>
    <xf numFmtId="0" fontId="3" fillId="8" borderId="0" xfId="0" applyFont="1" applyFill="1" applyAlignment="1">
      <alignment horizontal="center"/>
    </xf>
    <xf numFmtId="0" fontId="3" fillId="10" borderId="1" xfId="0" applyFont="1" applyFill="1" applyBorder="1" applyAlignment="1">
      <alignment horizontal="left" vertical="center" wrapText="1"/>
    </xf>
    <xf numFmtId="0" fontId="3" fillId="10" borderId="3" xfId="0" applyFont="1" applyFill="1" applyBorder="1" applyAlignment="1">
      <alignment horizontal="left" vertical="center" wrapText="1"/>
    </xf>
    <xf numFmtId="178" fontId="3" fillId="10" borderId="1" xfId="0" applyNumberFormat="1" applyFont="1" applyFill="1" applyBorder="1" applyAlignment="1">
      <alignment horizontal="left"/>
    </xf>
    <xf numFmtId="178" fontId="3" fillId="10" borderId="3" xfId="0" applyNumberFormat="1" applyFont="1" applyFill="1" applyBorder="1" applyAlignment="1">
      <alignment horizontal="left"/>
    </xf>
  </cellXfs>
  <cellStyles count="7">
    <cellStyle name="Comma" xfId="5" builtinId="3"/>
    <cellStyle name="Currency" xfId="1" builtinId="4"/>
    <cellStyle name="Hyperlink" xfId="3" builtinId="8"/>
    <cellStyle name="Normal" xfId="0" builtinId="0"/>
    <cellStyle name="Normal 2" xfId="6" xr:uid="{B364A48D-8407-43E6-BA66-BFB5B53E41E0}"/>
    <cellStyle name="Percent" xfId="2" builtinId="5"/>
    <cellStyle name="Percent 2" xfId="4" xr:uid="{00000000-0005-0000-0000-000005000000}"/>
  </cellStyles>
  <dxfs count="111">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tint="-0.14996795556505021"/>
      </font>
      <fill>
        <patternFill>
          <bgColor theme="0" tint="-0.14996795556505021"/>
        </patternFill>
      </fill>
    </dxf>
    <dxf>
      <font>
        <color theme="0"/>
      </font>
    </dxf>
    <dxf>
      <font>
        <color auto="1"/>
      </font>
      <fill>
        <patternFill>
          <bgColor rgb="FF00B050"/>
        </patternFill>
      </fill>
    </dxf>
    <dxf>
      <font>
        <color auto="1"/>
      </font>
      <fill>
        <patternFill>
          <bgColor rgb="FF00B050"/>
        </patternFill>
      </fill>
    </dxf>
    <dxf>
      <font>
        <color theme="0" tint="-0.14996795556505021"/>
      </font>
      <fill>
        <patternFill>
          <bgColor theme="0" tint="-0.14996795556505021"/>
        </patternFill>
      </fill>
    </dxf>
    <dxf>
      <fill>
        <patternFill patternType="none">
          <bgColor auto="1"/>
        </patternFill>
      </fill>
    </dxf>
    <dxf>
      <font>
        <color theme="0"/>
      </font>
    </dxf>
    <dxf>
      <font>
        <color theme="0"/>
      </font>
    </dxf>
    <dxf>
      <font>
        <color theme="0"/>
      </font>
    </dxf>
    <dxf>
      <font>
        <color theme="0"/>
      </font>
    </dxf>
    <dxf>
      <font>
        <color theme="0"/>
      </font>
    </dxf>
    <dxf>
      <font>
        <color theme="0"/>
      </font>
    </dxf>
    <dxf>
      <font>
        <color theme="0" tint="-0.14996795556505021"/>
      </font>
      <fill>
        <patternFill patternType="none">
          <bgColor auto="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auto="1"/>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000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00"/>
        </patternFill>
      </fill>
    </dxf>
    <dxf>
      <font>
        <color theme="0" tint="-0.14996795556505021"/>
      </font>
      <fill>
        <patternFill>
          <bgColor theme="0" tint="-0.14996795556505021"/>
        </patternFill>
      </fill>
    </dxf>
    <dxf>
      <font>
        <b/>
        <i val="0"/>
        <color rgb="FFFFFF00"/>
      </font>
      <fill>
        <patternFill>
          <bgColor rgb="FFFF0000"/>
        </patternFill>
      </fill>
    </dxf>
    <dxf>
      <font>
        <b/>
        <i val="0"/>
        <color rgb="FFFFFF00"/>
      </font>
      <fill>
        <patternFill>
          <bgColor rgb="FFFF000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00"/>
        </patternFill>
      </fill>
    </dxf>
    <dxf>
      <fill>
        <patternFill>
          <bgColor rgb="FFFFFF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FF0000"/>
      </font>
      <fill>
        <patternFill patternType="none">
          <bgColor auto="1"/>
        </patternFill>
      </fill>
    </dxf>
    <dxf>
      <font>
        <color rgb="FFFF000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border>
        <left/>
        <right/>
        <top/>
        <bottom/>
        <vertical/>
        <horizontal/>
      </border>
    </dxf>
    <dxf>
      <fill>
        <patternFill>
          <bgColor theme="0"/>
        </patternFill>
      </fill>
    </dxf>
    <dxf>
      <font>
        <color theme="4" tint="0.59996337778862885"/>
      </font>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auto="1"/>
      </font>
      <fill>
        <patternFill patternType="none">
          <bgColor auto="1"/>
        </patternFill>
      </fill>
    </dxf>
    <dxf>
      <font>
        <color auto="1"/>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24994659260841701"/>
      </font>
      <fill>
        <patternFill>
          <bgColor theme="0" tint="-0.2499465926084170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4"/>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ont>
        <color theme="0" tint="-0.14996795556505021"/>
      </font>
      <fill>
        <patternFill>
          <bgColor theme="0" tint="-0.14996795556505021"/>
        </patternFill>
      </fill>
    </dxf>
    <dxf>
      <font>
        <color theme="0" tint="-0.14996795556505021"/>
      </font>
      <fill>
        <patternFill>
          <bgColor theme="0" tint="-0.14996795556505021"/>
        </patternFill>
      </fill>
    </dxf>
  </dxfs>
  <tableStyles count="0" defaultTableStyle="TableStyleMedium9" defaultPivotStyle="PivotStyleLight16"/>
  <colors>
    <mruColors>
      <color rgb="FFFFFFCC"/>
      <color rgb="FFFFFF99"/>
      <color rgb="FF000000"/>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'Key inputs &amp; Outputs'!$I$54</c:f>
          <c:strCache>
            <c:ptCount val="1"/>
            <c:pt idx="0">
              <c:v>Actual year 1 cash flows except that occasional cash flows such as engine replacement are converted to annual equivalents.  The cash flows increase over the defined life at an inflation rate of 2.0%/year</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'Detailed Cash Flow'!$B$90</c:f>
              <c:strCache>
                <c:ptCount val="1"/>
                <c:pt idx="0">
                  <c:v>Electricity</c:v>
                </c:pt>
              </c:strCache>
            </c:strRef>
          </c:tx>
          <c:spPr>
            <a:solidFill>
              <a:schemeClr val="accent1"/>
            </a:solidFill>
            <a:ln>
              <a:noFill/>
            </a:ln>
            <a:effectLst/>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'Detailed Cash Flow'!$C$88:$D$88</c:f>
              <c:numCache>
                <c:formatCode>"$"#,##0_);[Red]\("$"#,##0\)</c:formatCode>
                <c:ptCount val="2"/>
              </c:numCache>
            </c:numRef>
          </c:cat>
          <c:val>
            <c:numRef>
              <c:f>'Detailed Cash Flow'!$E$90</c:f>
              <c:numCache>
                <c:formatCode>"$"#,##0</c:formatCode>
                <c:ptCount val="1"/>
                <c:pt idx="0">
                  <c:v>258948.34388742479</c:v>
                </c:pt>
              </c:numCache>
            </c:numRef>
          </c:val>
          <c:extLst>
            <c:ext xmlns:c16="http://schemas.microsoft.com/office/drawing/2014/chart" uri="{C3380CC4-5D6E-409C-BE32-E72D297353CC}">
              <c16:uniqueId val="{00000000-A6B0-4078-9E73-ED0CF39E69A6}"/>
            </c:ext>
          </c:extLst>
        </c:ser>
        <c:ser>
          <c:idx val="10"/>
          <c:order val="1"/>
          <c:tx>
            <c:strRef>
              <c:f>'Detailed Cash Flow'!$B$91</c:f>
              <c:strCache>
                <c:ptCount val="1"/>
                <c:pt idx="0">
                  <c:v>Tipping Fees</c:v>
                </c:pt>
              </c:strCache>
            </c:strRef>
          </c:tx>
          <c:spPr>
            <a:solidFill>
              <a:schemeClr val="accent5">
                <a:lumMod val="60000"/>
              </a:schemeClr>
            </a:solidFill>
            <a:ln>
              <a:noFill/>
            </a:ln>
            <a:effectLst/>
          </c:spPr>
          <c:invertIfNegative val="0"/>
          <c:dLbls>
            <c:dLbl>
              <c:idx val="0"/>
              <c:tx>
                <c:rich>
                  <a:bodyPr/>
                  <a:lstStyle/>
                  <a:p>
                    <a:fld id="{7D897420-EB4A-4BB7-BF6E-075C850FB3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6B0-4078-9E73-ED0CF39E69A6}"/>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6B0-4078-9E73-ED0CF39E69A6}"/>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cat>
            <c:numRef>
              <c:f>'Detailed Cash Flow'!$C$88:$D$88</c:f>
              <c:numCache>
                <c:formatCode>"$"#,##0_);[Red]\("$"#,##0\)</c:formatCode>
                <c:ptCount val="2"/>
              </c:numCache>
            </c:numRef>
          </c:cat>
          <c:val>
            <c:numRef>
              <c:f>'Detailed Cash Flow'!$E$91:$F$91</c:f>
              <c:numCache>
                <c:formatCode>"$"#,##0</c:formatCode>
                <c:ptCount val="2"/>
                <c:pt idx="0">
                  <c:v>182500.00000000017</c:v>
                </c:pt>
              </c:numCache>
            </c:numRef>
          </c:val>
          <c:extLst>
            <c:ext xmlns:c15="http://schemas.microsoft.com/office/drawing/2012/chart" uri="{02D57815-91ED-43cb-92C2-25804820EDAC}">
              <c15:datalabelsRange>
                <c15:f>'Detailed Cash Flow'!$B$91</c15:f>
                <c15:dlblRangeCache>
                  <c:ptCount val="1"/>
                  <c:pt idx="0">
                    <c:v>Tipping Fees</c:v>
                  </c:pt>
                </c15:dlblRangeCache>
              </c15:datalabelsRange>
            </c:ext>
            <c:ext xmlns:c16="http://schemas.microsoft.com/office/drawing/2014/chart" uri="{C3380CC4-5D6E-409C-BE32-E72D297353CC}">
              <c16:uniqueId val="{00000003-A6B0-4078-9E73-ED0CF39E69A6}"/>
            </c:ext>
          </c:extLst>
        </c:ser>
        <c:ser>
          <c:idx val="1"/>
          <c:order val="2"/>
          <c:tx>
            <c:strRef>
              <c:f>'Detailed Cash Flow'!$B$93</c:f>
              <c:strCache>
                <c:ptCount val="1"/>
                <c:pt idx="0">
                  <c:v>Nutrient value</c:v>
                </c:pt>
              </c:strCache>
            </c:strRef>
          </c:tx>
          <c:spPr>
            <a:solidFill>
              <a:schemeClr val="accent2"/>
            </a:solidFill>
            <a:ln>
              <a:noFill/>
            </a:ln>
            <a:effectLst/>
          </c:spPr>
          <c:invertIfNegative val="0"/>
          <c:dLbls>
            <c:dLbl>
              <c:idx val="0"/>
              <c:tx>
                <c:rich>
                  <a:bodyPr/>
                  <a:lstStyle/>
                  <a:p>
                    <a:fld id="{B380FE2B-841B-4424-8EA6-A5223D3F48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6B0-4078-9E73-ED0CF39E69A6}"/>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6B0-4078-9E73-ED0CF39E69A6}"/>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cat>
            <c:numRef>
              <c:f>'Detailed Cash Flow'!$C$88:$D$88</c:f>
              <c:numCache>
                <c:formatCode>"$"#,##0_);[Red]\("$"#,##0\)</c:formatCode>
                <c:ptCount val="2"/>
              </c:numCache>
            </c:numRef>
          </c:cat>
          <c:val>
            <c:numRef>
              <c:f>'Detailed Cash Flow'!$E$93:$F$93</c:f>
              <c:numCache>
                <c:formatCode>"$"#,##0</c:formatCode>
                <c:ptCount val="2"/>
                <c:pt idx="0">
                  <c:v>64837.798963558373</c:v>
                </c:pt>
              </c:numCache>
            </c:numRef>
          </c:val>
          <c:extLst>
            <c:ext xmlns:c15="http://schemas.microsoft.com/office/drawing/2012/chart" uri="{02D57815-91ED-43cb-92C2-25804820EDAC}">
              <c15:datalabelsRange>
                <c15:f>'Detailed Cash Flow'!$B$93</c15:f>
                <c15:dlblRangeCache>
                  <c:ptCount val="1"/>
                  <c:pt idx="0">
                    <c:v>Nutrient value</c:v>
                  </c:pt>
                </c15:dlblRangeCache>
              </c15:datalabelsRange>
            </c:ext>
            <c:ext xmlns:c16="http://schemas.microsoft.com/office/drawing/2014/chart" uri="{C3380CC4-5D6E-409C-BE32-E72D297353CC}">
              <c16:uniqueId val="{00000006-A6B0-4078-9E73-ED0CF39E69A6}"/>
            </c:ext>
          </c:extLst>
        </c:ser>
        <c:ser>
          <c:idx val="2"/>
          <c:order val="3"/>
          <c:tx>
            <c:strRef>
              <c:f>'Detailed Cash Flow'!$B$92</c:f>
              <c:strCache>
                <c:ptCount val="1"/>
                <c:pt idx="0">
                  <c:v>Waste Heat</c:v>
                </c:pt>
              </c:strCache>
            </c:strRef>
          </c:tx>
          <c:spPr>
            <a:solidFill>
              <a:schemeClr val="accent3"/>
            </a:solidFill>
            <a:ln>
              <a:noFill/>
            </a:ln>
            <a:effectLst/>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'Detailed Cash Flow'!$C$88:$D$88</c:f>
              <c:numCache>
                <c:formatCode>"$"#,##0_);[Red]\("$"#,##0\)</c:formatCode>
                <c:ptCount val="2"/>
              </c:numCache>
            </c:numRef>
          </c:cat>
          <c:val>
            <c:numRef>
              <c:f>'Detailed Cash Flow'!$E$92</c:f>
              <c:numCache>
                <c:formatCode>"$"#,##0</c:formatCode>
                <c:ptCount val="1"/>
                <c:pt idx="0">
                  <c:v>42576.582840351155</c:v>
                </c:pt>
              </c:numCache>
            </c:numRef>
          </c:val>
          <c:extLst>
            <c:ext xmlns:c16="http://schemas.microsoft.com/office/drawing/2014/chart" uri="{C3380CC4-5D6E-409C-BE32-E72D297353CC}">
              <c16:uniqueId val="{00000007-A6B0-4078-9E73-ED0CF39E69A6}"/>
            </c:ext>
          </c:extLst>
        </c:ser>
        <c:ser>
          <c:idx val="11"/>
          <c:order val="4"/>
          <c:tx>
            <c:v>Bedding value</c:v>
          </c:tx>
          <c:spPr>
            <a:solidFill>
              <a:schemeClr val="accent6">
                <a:lumMod val="60000"/>
              </a:schemeClr>
            </a:solidFill>
            <a:ln>
              <a:noFill/>
            </a:ln>
            <a:effectLst/>
          </c:spPr>
          <c:invertIfNegative val="0"/>
          <c:dLbls>
            <c:dLbl>
              <c:idx val="0"/>
              <c:tx>
                <c:rich>
                  <a:bodyPr/>
                  <a:lstStyle/>
                  <a:p>
                    <a:fld id="{13601705-147E-423F-9928-CDFD78BE28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6B0-4078-9E73-ED0CF39E69A6}"/>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6B0-4078-9E73-ED0CF39E69A6}"/>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cat>
            <c:numRef>
              <c:f>'Detailed Cash Flow'!$C$88:$D$88</c:f>
              <c:numCache>
                <c:formatCode>"$"#,##0_);[Red]\("$"#,##0\)</c:formatCode>
                <c:ptCount val="2"/>
              </c:numCache>
            </c:numRef>
          </c:cat>
          <c:val>
            <c:numRef>
              <c:f>'Detailed Cash Flow'!$E$94:$F$94</c:f>
              <c:numCache>
                <c:formatCode>"$"#,##0</c:formatCode>
                <c:ptCount val="2"/>
                <c:pt idx="0">
                  <c:v>125350.22533913112</c:v>
                </c:pt>
              </c:numCache>
            </c:numRef>
          </c:val>
          <c:extLst>
            <c:ext xmlns:c15="http://schemas.microsoft.com/office/drawing/2012/chart" uri="{02D57815-91ED-43cb-92C2-25804820EDAC}">
              <c15:datalabelsRange>
                <c15:f>'Detailed Cash Flow'!$B$94</c15:f>
                <c15:dlblRangeCache>
                  <c:ptCount val="1"/>
                  <c:pt idx="0">
                    <c:v>Bedding value</c:v>
                  </c:pt>
                </c15:dlblRangeCache>
              </c15:datalabelsRange>
            </c:ext>
            <c:ext xmlns:c16="http://schemas.microsoft.com/office/drawing/2014/chart" uri="{C3380CC4-5D6E-409C-BE32-E72D297353CC}">
              <c16:uniqueId val="{0000000A-A6B0-4078-9E73-ED0CF39E69A6}"/>
            </c:ext>
          </c:extLst>
        </c:ser>
        <c:ser>
          <c:idx val="3"/>
          <c:order val="5"/>
          <c:tx>
            <c:strRef>
              <c:f>'Detailed Cash Flow'!$B$95</c:f>
              <c:strCache>
                <c:ptCount val="1"/>
                <c:pt idx="0">
                  <c:v>Govt incentives</c:v>
                </c:pt>
              </c:strCache>
            </c:strRef>
          </c:tx>
          <c:spPr>
            <a:solidFill>
              <a:schemeClr val="accent4"/>
            </a:solidFill>
            <a:ln>
              <a:noFill/>
            </a:ln>
            <a:effectLst/>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'Detailed Cash Flow'!$C$88:$D$88</c:f>
              <c:numCache>
                <c:formatCode>"$"#,##0_);[Red]\("$"#,##0\)</c:formatCode>
                <c:ptCount val="2"/>
              </c:numCache>
            </c:numRef>
          </c:cat>
          <c:val>
            <c:numRef>
              <c:f>'Detailed Cash Flow'!$E$95:$F$95</c:f>
              <c:numCache>
                <c:formatCode>"$"#,##0</c:formatCode>
                <c:ptCount val="2"/>
                <c:pt idx="0">
                  <c:v>55799.590641265808</c:v>
                </c:pt>
              </c:numCache>
            </c:numRef>
          </c:val>
          <c:extLst>
            <c:ext xmlns:c16="http://schemas.microsoft.com/office/drawing/2014/chart" uri="{C3380CC4-5D6E-409C-BE32-E72D297353CC}">
              <c16:uniqueId val="{0000000B-A6B0-4078-9E73-ED0CF39E69A6}"/>
            </c:ext>
          </c:extLst>
        </c:ser>
        <c:ser>
          <c:idx val="9"/>
          <c:order val="6"/>
          <c:tx>
            <c:strRef>
              <c:f>'Detailed Cash Flow'!$B$98</c:f>
              <c:strCache>
                <c:ptCount val="1"/>
                <c:pt idx="0">
                  <c:v>Initial equity</c:v>
                </c:pt>
              </c:strCache>
            </c:strRef>
          </c:tx>
          <c:spPr>
            <a:solidFill>
              <a:schemeClr val="accent4">
                <a:lumMod val="60000"/>
              </a:schemeClr>
            </a:solidFill>
            <a:ln>
              <a:noFill/>
            </a:ln>
            <a:effectLst/>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'Detailed Cash Flow'!$C$88:$D$88</c:f>
              <c:numCache>
                <c:formatCode>"$"#,##0_);[Red]\("$"#,##0\)</c:formatCode>
                <c:ptCount val="2"/>
              </c:numCache>
            </c:numRef>
          </c:cat>
          <c:val>
            <c:numRef>
              <c:f>'Detailed Cash Flow'!$E$98:$F$98</c:f>
              <c:numCache>
                <c:formatCode>"$"#,##0</c:formatCode>
                <c:ptCount val="2"/>
                <c:pt idx="1">
                  <c:v>273844.00451495004</c:v>
                </c:pt>
              </c:numCache>
            </c:numRef>
          </c:val>
          <c:extLst>
            <c:ext xmlns:c16="http://schemas.microsoft.com/office/drawing/2014/chart" uri="{C3380CC4-5D6E-409C-BE32-E72D297353CC}">
              <c16:uniqueId val="{0000000C-A6B0-4078-9E73-ED0CF39E69A6}"/>
            </c:ext>
          </c:extLst>
        </c:ser>
        <c:ser>
          <c:idx val="6"/>
          <c:order val="7"/>
          <c:tx>
            <c:strRef>
              <c:f>'Detailed Cash Flow'!$B$99</c:f>
              <c:strCache>
                <c:ptCount val="1"/>
                <c:pt idx="0">
                  <c:v>Interest</c:v>
                </c:pt>
              </c:strCache>
            </c:strRef>
          </c:tx>
          <c:spPr>
            <a:solidFill>
              <a:schemeClr val="accent3">
                <a:lumMod val="40000"/>
                <a:lumOff val="60000"/>
              </a:schemeClr>
            </a:solidFill>
            <a:ln>
              <a:noFill/>
            </a:ln>
            <a:effectLst/>
          </c:spPr>
          <c:invertIfNegative val="0"/>
          <c:dLbls>
            <c:dLbl>
              <c:idx val="1"/>
              <c:layout>
                <c:manualLayout>
                  <c:x val="0"/>
                  <c:y val="1.257014323741847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A6B0-4078-9E73-ED0CF39E69A6}"/>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'Detailed Cash Flow'!$C$88:$D$88</c:f>
              <c:numCache>
                <c:formatCode>"$"#,##0_);[Red]\("$"#,##0\)</c:formatCode>
                <c:ptCount val="2"/>
              </c:numCache>
            </c:numRef>
          </c:cat>
          <c:val>
            <c:numRef>
              <c:f>'Detailed Cash Flow'!$E$99:$F$99</c:f>
              <c:numCache>
                <c:formatCode>"$"#,##0</c:formatCode>
                <c:ptCount val="2"/>
                <c:pt idx="1">
                  <c:v>31357.899657242728</c:v>
                </c:pt>
              </c:numCache>
            </c:numRef>
          </c:val>
          <c:extLst>
            <c:ext xmlns:c16="http://schemas.microsoft.com/office/drawing/2014/chart" uri="{C3380CC4-5D6E-409C-BE32-E72D297353CC}">
              <c16:uniqueId val="{0000000E-A6B0-4078-9E73-ED0CF39E69A6}"/>
            </c:ext>
          </c:extLst>
        </c:ser>
        <c:ser>
          <c:idx val="4"/>
          <c:order val="8"/>
          <c:tx>
            <c:strRef>
              <c:f>'Detailed Cash Flow'!$B$100</c:f>
              <c:strCache>
                <c:ptCount val="1"/>
                <c:pt idx="0">
                  <c:v>Principal</c:v>
                </c:pt>
              </c:strCache>
            </c:strRef>
          </c:tx>
          <c:spPr>
            <a:solidFill>
              <a:schemeClr val="accent5"/>
            </a:solidFill>
            <a:ln>
              <a:noFill/>
            </a:ln>
            <a:effectLst/>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'Detailed Cash Flow'!$C$88:$D$88</c:f>
              <c:numCache>
                <c:formatCode>"$"#,##0_);[Red]\("$"#,##0\)</c:formatCode>
                <c:ptCount val="2"/>
              </c:numCache>
            </c:numRef>
          </c:cat>
          <c:val>
            <c:numRef>
              <c:f>'Detailed Cash Flow'!$E$100:$F$100</c:f>
              <c:numCache>
                <c:formatCode>"$"#,##0</c:formatCode>
                <c:ptCount val="2"/>
                <c:pt idx="1">
                  <c:v>52408.631451086709</c:v>
                </c:pt>
              </c:numCache>
            </c:numRef>
          </c:val>
          <c:extLst>
            <c:ext xmlns:c16="http://schemas.microsoft.com/office/drawing/2014/chart" uri="{C3380CC4-5D6E-409C-BE32-E72D297353CC}">
              <c16:uniqueId val="{0000000F-A6B0-4078-9E73-ED0CF39E69A6}"/>
            </c:ext>
          </c:extLst>
        </c:ser>
        <c:ser>
          <c:idx val="7"/>
          <c:order val="9"/>
          <c:tx>
            <c:strRef>
              <c:f>'Detailed Cash Flow'!$B$101</c:f>
              <c:strCache>
                <c:ptCount val="1"/>
                <c:pt idx="0">
                  <c:v>Equip replace</c:v>
                </c:pt>
              </c:strCache>
            </c:strRef>
          </c:tx>
          <c:spPr>
            <a:solidFill>
              <a:schemeClr val="accent2">
                <a:lumMod val="60000"/>
              </a:schemeClr>
            </a:solidFill>
            <a:ln>
              <a:noFill/>
            </a:ln>
            <a:effectLst/>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'Detailed Cash Flow'!$C$88:$D$88</c:f>
              <c:numCache>
                <c:formatCode>"$"#,##0_);[Red]\("$"#,##0\)</c:formatCode>
                <c:ptCount val="2"/>
              </c:numCache>
            </c:numRef>
          </c:cat>
          <c:val>
            <c:numRef>
              <c:f>'Detailed Cash Flow'!$E$101:$F$101</c:f>
              <c:numCache>
                <c:formatCode>"$"#,##0</c:formatCode>
                <c:ptCount val="2"/>
                <c:pt idx="1">
                  <c:v>39566.839417554052</c:v>
                </c:pt>
              </c:numCache>
            </c:numRef>
          </c:val>
          <c:extLst>
            <c:ext xmlns:c16="http://schemas.microsoft.com/office/drawing/2014/chart" uri="{C3380CC4-5D6E-409C-BE32-E72D297353CC}">
              <c16:uniqueId val="{00000010-A6B0-4078-9E73-ED0CF39E69A6}"/>
            </c:ext>
          </c:extLst>
        </c:ser>
        <c:ser>
          <c:idx val="5"/>
          <c:order val="10"/>
          <c:tx>
            <c:strRef>
              <c:f>'Detailed Cash Flow'!$B$97</c:f>
              <c:strCache>
                <c:ptCount val="1"/>
                <c:pt idx="0">
                  <c:v>O&amp;M</c:v>
                </c:pt>
              </c:strCache>
            </c:strRef>
          </c:tx>
          <c:spPr>
            <a:solidFill>
              <a:schemeClr val="accent6"/>
            </a:solidFill>
            <a:ln>
              <a:noFill/>
            </a:ln>
            <a:effectLst/>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'Detailed Cash Flow'!$C$88:$D$88</c:f>
              <c:numCache>
                <c:formatCode>"$"#,##0_);[Red]\("$"#,##0\)</c:formatCode>
                <c:ptCount val="2"/>
              </c:numCache>
            </c:numRef>
          </c:cat>
          <c:val>
            <c:numRef>
              <c:f>'Detailed Cash Flow'!$E$97:$F$97</c:f>
              <c:numCache>
                <c:formatCode>"$"#,##0</c:formatCode>
                <c:ptCount val="2"/>
                <c:pt idx="1">
                  <c:v>243113.13952253672</c:v>
                </c:pt>
              </c:numCache>
            </c:numRef>
          </c:val>
          <c:extLst>
            <c:ext xmlns:c16="http://schemas.microsoft.com/office/drawing/2014/chart" uri="{C3380CC4-5D6E-409C-BE32-E72D297353CC}">
              <c16:uniqueId val="{00000011-A6B0-4078-9E73-ED0CF39E69A6}"/>
            </c:ext>
          </c:extLst>
        </c:ser>
        <c:ser>
          <c:idx val="8"/>
          <c:order val="11"/>
          <c:tx>
            <c:strRef>
              <c:f>'Detailed Cash Flow'!$B$102</c:f>
              <c:strCache>
                <c:ptCount val="1"/>
                <c:pt idx="0">
                  <c:v>Taxes</c:v>
                </c:pt>
              </c:strCache>
            </c:strRef>
          </c:tx>
          <c:spPr>
            <a:solidFill>
              <a:schemeClr val="accent4">
                <a:lumMod val="60000"/>
                <a:lumOff val="40000"/>
              </a:schemeClr>
            </a:solidFill>
            <a:ln>
              <a:noFill/>
            </a:ln>
            <a:effectLst/>
          </c:spPr>
          <c:invertIfNegative val="0"/>
          <c:dLbls>
            <c:dLbl>
              <c:idx val="0"/>
              <c:tx>
                <c:rich>
                  <a:bodyPr/>
                  <a:lstStyle/>
                  <a:p>
                    <a:endParaRPr lang="en-US"/>
                  </a:p>
                </c:rich>
              </c:tx>
              <c:showLegendKey val="0"/>
              <c:showVal val="0"/>
              <c:showCatName val="0"/>
              <c:showSerName val="1"/>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6B0-4078-9E73-ED0CF39E69A6}"/>
                </c:ext>
              </c:extLst>
            </c:dLbl>
            <c:dLbl>
              <c:idx val="1"/>
              <c:tx>
                <c:rich>
                  <a:bodyPr/>
                  <a:lstStyle/>
                  <a:p>
                    <a:fld id="{3605F513-8C35-4364-BB0D-67429DC213BD}" type="SERIESNAME">
                      <a:rPr lang="en-US"/>
                      <a:pPr/>
                      <a:t>[SERIES NAME]</a:t>
                    </a:fld>
                    <a:endParaRPr lang="en-US"/>
                  </a:p>
                </c:rich>
              </c:tx>
              <c:showLegendKey val="0"/>
              <c:showVal val="0"/>
              <c:showCatName val="0"/>
              <c:showSerName val="1"/>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6B0-4078-9E73-ED0CF39E69A6}"/>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cat>
            <c:numRef>
              <c:f>'Detailed Cash Flow'!$C$88:$D$88</c:f>
              <c:numCache>
                <c:formatCode>"$"#,##0_);[Red]\("$"#,##0\)</c:formatCode>
                <c:ptCount val="2"/>
              </c:numCache>
            </c:numRef>
          </c:cat>
          <c:val>
            <c:numRef>
              <c:f>'Detailed Cash Flow'!$E$102:$F$102</c:f>
              <c:numCache>
                <c:formatCode>"$"#,##0</c:formatCode>
                <c:ptCount val="2"/>
                <c:pt idx="1">
                  <c:v>39982.598816580365</c:v>
                </c:pt>
              </c:numCache>
            </c:numRef>
          </c:val>
          <c:extLst>
            <c:ext xmlns:c15="http://schemas.microsoft.com/office/drawing/2012/chart" uri="{02D57815-91ED-43cb-92C2-25804820EDAC}">
              <c15:datalabelsRange>
                <c15:f>'Detailed Cash Flow'!$B$102</c15:f>
                <c15:dlblRangeCache>
                  <c:ptCount val="1"/>
                  <c:pt idx="0">
                    <c:v>Taxes</c:v>
                  </c:pt>
                </c15:dlblRangeCache>
              </c15:datalabelsRange>
            </c:ext>
            <c:ext xmlns:c16="http://schemas.microsoft.com/office/drawing/2014/chart" uri="{C3380CC4-5D6E-409C-BE32-E72D297353CC}">
              <c16:uniqueId val="{00000014-A6B0-4078-9E73-ED0CF39E69A6}"/>
            </c:ext>
          </c:extLst>
        </c:ser>
        <c:dLbls>
          <c:showLegendKey val="0"/>
          <c:showVal val="0"/>
          <c:showCatName val="0"/>
          <c:showSerName val="0"/>
          <c:showPercent val="0"/>
          <c:showBubbleSize val="0"/>
        </c:dLbls>
        <c:gapWidth val="50"/>
        <c:overlap val="100"/>
        <c:axId val="536520784"/>
        <c:axId val="536517040"/>
        <c:extLst/>
      </c:barChart>
      <c:catAx>
        <c:axId val="536520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536517040"/>
        <c:crosses val="autoZero"/>
        <c:auto val="1"/>
        <c:lblAlgn val="ctr"/>
        <c:lblOffset val="100"/>
        <c:noMultiLvlLbl val="0"/>
      </c:catAx>
      <c:valAx>
        <c:axId val="53651704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36520784"/>
        <c:crosses val="autoZero"/>
        <c:crossBetween val="between"/>
      </c:valAx>
      <c:spPr>
        <a:noFill/>
        <a:ln>
          <a:noFill/>
        </a:ln>
        <a:effectLst/>
      </c:spPr>
    </c:plotArea>
    <c:plotVisOnly val="1"/>
    <c:dispBlanksAs val="gap"/>
    <c:showDLblsOverMax val="0"/>
  </c:chart>
  <c:spPr>
    <a:solidFill>
      <a:srgbClr val="FFFF99"/>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Impact of a 25% increase in:</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Lbls>
            <c:dLbl>
              <c:idx val="0"/>
              <c:tx>
                <c:rich>
                  <a:bodyPr/>
                  <a:lstStyle/>
                  <a:p>
                    <a:fld id="{A7B4F805-C4DD-4B8C-894B-75412150BB9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39F2-45F7-B2EC-21EB66913996}"/>
                </c:ext>
              </c:extLst>
            </c:dLbl>
            <c:dLbl>
              <c:idx val="1"/>
              <c:tx>
                <c:rich>
                  <a:bodyPr/>
                  <a:lstStyle/>
                  <a:p>
                    <a:fld id="{D4362849-5C78-4CBB-A3ED-2B4B2FBE159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9F2-45F7-B2EC-21EB66913996}"/>
                </c:ext>
              </c:extLst>
            </c:dLbl>
            <c:dLbl>
              <c:idx val="2"/>
              <c:tx>
                <c:rich>
                  <a:bodyPr/>
                  <a:lstStyle/>
                  <a:p>
                    <a:fld id="{8F7EE4BA-24BA-43D5-937B-722F1165008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9F2-45F7-B2EC-21EB66913996}"/>
                </c:ext>
              </c:extLst>
            </c:dLbl>
            <c:dLbl>
              <c:idx val="3"/>
              <c:tx>
                <c:rich>
                  <a:bodyPr/>
                  <a:lstStyle/>
                  <a:p>
                    <a:fld id="{519BD55D-4B41-4907-B302-9AAC5797041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9F2-45F7-B2EC-21EB66913996}"/>
                </c:ext>
              </c:extLst>
            </c:dLbl>
            <c:dLbl>
              <c:idx val="4"/>
              <c:tx>
                <c:rich>
                  <a:bodyPr/>
                  <a:lstStyle/>
                  <a:p>
                    <a:fld id="{B1A2CAE7-E5A0-454F-B1B1-3423FC684CF2}"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9F2-45F7-B2EC-21EB66913996}"/>
                </c:ext>
              </c:extLst>
            </c:dLbl>
            <c:dLbl>
              <c:idx val="5"/>
              <c:tx>
                <c:rich>
                  <a:bodyPr/>
                  <a:lstStyle/>
                  <a:p>
                    <a:fld id="{5E2572E1-5660-4A44-A8F8-EFCD0B5F4F7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9F2-45F7-B2EC-21EB66913996}"/>
                </c:ext>
              </c:extLst>
            </c:dLbl>
            <c:dLbl>
              <c:idx val="6"/>
              <c:tx>
                <c:rich>
                  <a:bodyPr/>
                  <a:lstStyle/>
                  <a:p>
                    <a:fld id="{414E0CFB-F5F4-4872-818F-33C29253829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9F2-45F7-B2EC-21EB66913996}"/>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'Financial Inputs'!$S$221:$S$227</c:f>
              <c:numCache>
                <c:formatCode>General</c:formatCode>
                <c:ptCount val="7"/>
              </c:numCache>
            </c:numRef>
          </c:cat>
          <c:val>
            <c:numRef>
              <c:f>'Financial Inputs'!$U$221:$U$227</c:f>
              <c:numCache>
                <c:formatCode>"$"#,##0</c:formatCode>
                <c:ptCount val="7"/>
                <c:pt idx="0">
                  <c:v>-8058.1647818332203</c:v>
                </c:pt>
                <c:pt idx="1">
                  <c:v>6875.574433718386</c:v>
                </c:pt>
                <c:pt idx="2">
                  <c:v>9661.3186201452336</c:v>
                </c:pt>
                <c:pt idx="3">
                  <c:v>14758.036807160701</c:v>
                </c:pt>
                <c:pt idx="4">
                  <c:v>19227.857175514</c:v>
                </c:pt>
                <c:pt idx="5">
                  <c:v>26089.04564665808</c:v>
                </c:pt>
                <c:pt idx="6">
                  <c:v>27580.312500000015</c:v>
                </c:pt>
              </c:numCache>
            </c:numRef>
          </c:val>
          <c:extLst>
            <c:ext xmlns:c15="http://schemas.microsoft.com/office/drawing/2012/chart" uri="{02D57815-91ED-43cb-92C2-25804820EDAC}">
              <c15:datalabelsRange>
                <c15:f>'Financial Inputs'!$T$221:$T$228</c15:f>
                <c15:dlblRangeCache>
                  <c:ptCount val="8"/>
                  <c:pt idx="0">
                    <c:v>O&amp;M, $/yr</c:v>
                  </c:pt>
                  <c:pt idx="1">
                    <c:v>Inflation rate, %</c:v>
                  </c:pt>
                  <c:pt idx="2">
                    <c:v>Grant, %</c:v>
                  </c:pt>
                  <c:pt idx="3">
                    <c:v>Useful life, yrs</c:v>
                  </c:pt>
                  <c:pt idx="4">
                    <c:v>Fertilizer, $/yr</c:v>
                  </c:pt>
                  <c:pt idx="5">
                    <c:v>Electric rate, $/kWh</c:v>
                  </c:pt>
                  <c:pt idx="6">
                    <c:v>Tipping fee, $/ton</c:v>
                  </c:pt>
                </c15:dlblRangeCache>
              </c15:datalabelsRange>
            </c:ext>
            <c:ext xmlns:c16="http://schemas.microsoft.com/office/drawing/2014/chart" uri="{C3380CC4-5D6E-409C-BE32-E72D297353CC}">
              <c16:uniqueId val="{00000008-FB8C-450F-AE30-B0C70F397975}"/>
            </c:ext>
          </c:extLst>
        </c:ser>
        <c:dLbls>
          <c:dLblPos val="outEnd"/>
          <c:showLegendKey val="0"/>
          <c:showVal val="1"/>
          <c:showCatName val="0"/>
          <c:showSerName val="0"/>
          <c:showPercent val="0"/>
          <c:showBubbleSize val="0"/>
        </c:dLbls>
        <c:gapWidth val="182"/>
        <c:axId val="48883520"/>
        <c:axId val="48865216"/>
      </c:barChart>
      <c:catAx>
        <c:axId val="48883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865216"/>
        <c:crossesAt val="0"/>
        <c:auto val="1"/>
        <c:lblAlgn val="ctr"/>
        <c:lblOffset val="100"/>
        <c:noMultiLvlLbl val="0"/>
      </c:catAx>
      <c:valAx>
        <c:axId val="488652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a:t>Change in Year 1 Cash Flow</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8883520"/>
        <c:crosses val="autoZero"/>
        <c:crossBetween val="between"/>
      </c:valAx>
      <c:spPr>
        <a:noFill/>
        <a:ln>
          <a:noFill/>
        </a:ln>
        <a:effectLst/>
      </c:spPr>
    </c:plotArea>
    <c:plotVisOnly val="1"/>
    <c:dispBlanksAs val="gap"/>
    <c:showDLblsOverMax val="0"/>
  </c:chart>
  <c:spPr>
    <a:solidFill>
      <a:srgbClr val="FFFF99"/>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1"/>
    </c:title>
    <c:autoTitleDeleted val="0"/>
    <c:plotArea>
      <c:layout/>
      <c:lineChart>
        <c:grouping val="standard"/>
        <c:varyColors val="0"/>
        <c:ser>
          <c:idx val="0"/>
          <c:order val="0"/>
          <c:tx>
            <c:strRef>
              <c:f>'Condensed Cash Flow'!$N$4</c:f>
              <c:strCache>
                <c:ptCount val="1"/>
                <c:pt idx="0">
                  <c:v>Cumulative Cash Flow</c:v>
                </c:pt>
              </c:strCache>
            </c:strRef>
          </c:tx>
          <c:marker>
            <c:symbol val="none"/>
          </c:marker>
          <c:cat>
            <c:numRef>
              <c:f>'Condensed Cash Flow'!$B$6:$B$36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'Condensed Cash Flow'!$N$6:$N$36</c:f>
              <c:numCache>
                <c:formatCode>"$"#,##0_);[Red]\("$"#,##0\)</c:formatCode>
                <c:ptCount val="31"/>
                <c:pt idx="0">
                  <c:v>-2666978.3572946326</c:v>
                </c:pt>
                <c:pt idx="1">
                  <c:v>-2228177.9691616134</c:v>
                </c:pt>
                <c:pt idx="2">
                  <c:v>-1615732.8716137027</c:v>
                </c:pt>
                <c:pt idx="3">
                  <c:v>-1215316.0754882265</c:v>
                </c:pt>
                <c:pt idx="4">
                  <c:v>-805120.74394611502</c:v>
                </c:pt>
                <c:pt idx="5">
                  <c:v>-424870.17112344317</c:v>
                </c:pt>
                <c:pt idx="6">
                  <c:v>-147187.93654992606</c:v>
                </c:pt>
                <c:pt idx="7">
                  <c:v>195865.3443991383</c:v>
                </c:pt>
                <c:pt idx="8">
                  <c:v>415930.51963896106</c:v>
                </c:pt>
                <c:pt idx="9">
                  <c:v>692224.92951194488</c:v>
                </c:pt>
                <c:pt idx="10">
                  <c:v>827222.28741246148</c:v>
                </c:pt>
                <c:pt idx="11">
                  <c:v>1107058.8357603801</c:v>
                </c:pt>
                <c:pt idx="12">
                  <c:v>1511767.2969282244</c:v>
                </c:pt>
                <c:pt idx="13">
                  <c:v>1783269.7154957592</c:v>
                </c:pt>
                <c:pt idx="14">
                  <c:v>2160607.8784928489</c:v>
                </c:pt>
                <c:pt idx="15">
                  <c:v>2536676.6490080175</c:v>
                </c:pt>
                <c:pt idx="16">
                  <c:v>2816885.9527037092</c:v>
                </c:pt>
                <c:pt idx="17">
                  <c:v>3209411.4278005632</c:v>
                </c:pt>
                <c:pt idx="18">
                  <c:v>3500613.9299475178</c:v>
                </c:pt>
                <c:pt idx="19">
                  <c:v>3908670.1291384199</c:v>
                </c:pt>
                <c:pt idx="20">
                  <c:v>4391294.2771800729</c:v>
                </c:pt>
                <c:pt idx="21">
                  <c:v>4391294.2771800729</c:v>
                </c:pt>
                <c:pt idx="22">
                  <c:v>4391294.2771800729</c:v>
                </c:pt>
                <c:pt idx="23">
                  <c:v>4391294.2771800729</c:v>
                </c:pt>
                <c:pt idx="24">
                  <c:v>4391294.2771800729</c:v>
                </c:pt>
                <c:pt idx="25">
                  <c:v>4391294.2771800729</c:v>
                </c:pt>
                <c:pt idx="26">
                  <c:v>4391294.2771800729</c:v>
                </c:pt>
                <c:pt idx="27">
                  <c:v>4391294.2771800729</c:v>
                </c:pt>
                <c:pt idx="28">
                  <c:v>4391294.2771800729</c:v>
                </c:pt>
                <c:pt idx="29">
                  <c:v>4391294.2771800729</c:v>
                </c:pt>
                <c:pt idx="30">
                  <c:v>4391294.2771800729</c:v>
                </c:pt>
              </c:numCache>
            </c:numRef>
          </c:val>
          <c:smooth val="0"/>
          <c:extLst>
            <c:ext xmlns:c16="http://schemas.microsoft.com/office/drawing/2014/chart" uri="{C3380CC4-5D6E-409C-BE32-E72D297353CC}">
              <c16:uniqueId val="{00000000-84DD-4E06-A24F-5004DB55A205}"/>
            </c:ext>
          </c:extLst>
        </c:ser>
        <c:dLbls>
          <c:showLegendKey val="0"/>
          <c:showVal val="0"/>
          <c:showCatName val="0"/>
          <c:showSerName val="0"/>
          <c:showPercent val="0"/>
          <c:showBubbleSize val="0"/>
        </c:dLbls>
        <c:smooth val="0"/>
        <c:axId val="140104832"/>
        <c:axId val="140757248"/>
      </c:lineChart>
      <c:catAx>
        <c:axId val="140104832"/>
        <c:scaling>
          <c:orientation val="minMax"/>
        </c:scaling>
        <c:delete val="0"/>
        <c:axPos val="b"/>
        <c:title>
          <c:tx>
            <c:rich>
              <a:bodyPr/>
              <a:lstStyle/>
              <a:p>
                <a:pPr>
                  <a:defRPr sz="1100"/>
                </a:pPr>
                <a:r>
                  <a:rPr lang="en-US" sz="1100"/>
                  <a:t>Project Year</a:t>
                </a:r>
              </a:p>
            </c:rich>
          </c:tx>
          <c:overlay val="0"/>
        </c:title>
        <c:numFmt formatCode="General" sourceLinked="1"/>
        <c:majorTickMark val="out"/>
        <c:minorTickMark val="none"/>
        <c:tickLblPos val="nextTo"/>
        <c:crossAx val="140757248"/>
        <c:crosses val="autoZero"/>
        <c:auto val="1"/>
        <c:lblAlgn val="ctr"/>
        <c:lblOffset val="100"/>
        <c:tickLblSkip val="5"/>
        <c:noMultiLvlLbl val="0"/>
      </c:catAx>
      <c:valAx>
        <c:axId val="140757248"/>
        <c:scaling>
          <c:orientation val="minMax"/>
        </c:scaling>
        <c:delete val="0"/>
        <c:axPos val="l"/>
        <c:title>
          <c:tx>
            <c:rich>
              <a:bodyPr rot="-5400000" vert="horz"/>
              <a:lstStyle/>
              <a:p>
                <a:pPr>
                  <a:defRPr sz="1100" b="1"/>
                </a:pPr>
                <a:r>
                  <a:rPr lang="en-US" sz="1100" b="1"/>
                  <a:t>Cumulative Cash Flow ($)</a:t>
                </a:r>
              </a:p>
            </c:rich>
          </c:tx>
          <c:overlay val="0"/>
        </c:title>
        <c:numFmt formatCode="&quot;$&quot;#,##0_);[Red]\(&quot;$&quot;#,##0\)" sourceLinked="1"/>
        <c:majorTickMark val="out"/>
        <c:minorTickMark val="none"/>
        <c:tickLblPos val="nextTo"/>
        <c:crossAx val="140104832"/>
        <c:crosses val="autoZero"/>
        <c:crossBetween val="between"/>
      </c:valAx>
      <c:spPr>
        <a:solidFill>
          <a:srgbClr val="FFFF99"/>
        </a:solidFill>
      </c:spPr>
    </c:plotArea>
    <c:plotVisOnly val="1"/>
    <c:dispBlanksAs val="gap"/>
    <c:showDLblsOverMax val="0"/>
  </c:chart>
  <c:spPr>
    <a:solidFill>
      <a:srgbClr val="FFFF99"/>
    </a:solidFill>
  </c:spPr>
  <c:printSettings>
    <c:headerFooter/>
    <c:pageMargins b="0.7500000000000121" l="0.70000000000000062" r="0.70000000000000062" t="0.750000000000012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Revenue + Tax Benefits / (Liability) v. </a:t>
            </a:r>
          </a:p>
          <a:p>
            <a:pPr>
              <a:defRPr/>
            </a:pPr>
            <a:r>
              <a:rPr lang="en-US"/>
              <a:t>Expenses + Cash Obligations</a:t>
            </a:r>
          </a:p>
        </c:rich>
      </c:tx>
      <c:overlay val="1"/>
    </c:title>
    <c:autoTitleDeleted val="0"/>
    <c:plotArea>
      <c:layout/>
      <c:areaChart>
        <c:grouping val="standard"/>
        <c:varyColors val="0"/>
        <c:ser>
          <c:idx val="1"/>
          <c:order val="1"/>
          <c:tx>
            <c:strRef>
              <c:f>'Condensed Cash Flow'!$S$4</c:f>
              <c:strCache>
                <c:ptCount val="1"/>
                <c:pt idx="0">
                  <c:v>Expenses + Cash Obligations</c:v>
                </c:pt>
              </c:strCache>
            </c:strRef>
          </c:tx>
          <c:cat>
            <c:numRef>
              <c:f>'Condensed Cash Flow'!$B$6:$B$36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'Condensed Cash Flow'!$S$6:$S$36</c:f>
              <c:numCache>
                <c:formatCode>"$"#,##0_);[Red]\("$"#,##0\)</c:formatCode>
                <c:ptCount val="31"/>
                <c:pt idx="1">
                  <c:v>444557.62754142151</c:v>
                </c:pt>
                <c:pt idx="2">
                  <c:v>408828.02847011969</c:v>
                </c:pt>
                <c:pt idx="3">
                  <c:v>542580.17261941242</c:v>
                </c:pt>
                <c:pt idx="4">
                  <c:v>471516.3467682997</c:v>
                </c:pt>
                <c:pt idx="5">
                  <c:v>478079.89731389505</c:v>
                </c:pt>
                <c:pt idx="6">
                  <c:v>567016.48171679943</c:v>
                </c:pt>
                <c:pt idx="7">
                  <c:v>491564.91414035519</c:v>
                </c:pt>
                <c:pt idx="8">
                  <c:v>584066.35283581156</c:v>
                </c:pt>
                <c:pt idx="9">
                  <c:v>505536.10351456777</c:v>
                </c:pt>
                <c:pt idx="10">
                  <c:v>666049.85528627515</c:v>
                </c:pt>
                <c:pt idx="11">
                  <c:v>469972.06546136353</c:v>
                </c:pt>
                <c:pt idx="12">
                  <c:v>335803.02886152465</c:v>
                </c:pt>
                <c:pt idx="13">
                  <c:v>499062.59653601749</c:v>
                </c:pt>
                <c:pt idx="14">
                  <c:v>412669.95567773603</c:v>
                </c:pt>
                <c:pt idx="15">
                  <c:v>420923.35479129077</c:v>
                </c:pt>
                <c:pt idx="16">
                  <c:v>529609.21994479408</c:v>
                </c:pt>
                <c:pt idx="17">
                  <c:v>437928.65832485893</c:v>
                </c:pt>
                <c:pt idx="18">
                  <c:v>551005.43243056373</c:v>
                </c:pt>
                <c:pt idx="19">
                  <c:v>455620.97612118331</c:v>
                </c:pt>
                <c:pt idx="20">
                  <c:v>610407.16137485718</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7571-4833-BC17-4FE8AA9DE141}"/>
            </c:ext>
          </c:extLst>
        </c:ser>
        <c:dLbls>
          <c:showLegendKey val="0"/>
          <c:showVal val="0"/>
          <c:showCatName val="0"/>
          <c:showSerName val="0"/>
          <c:showPercent val="0"/>
          <c:showBubbleSize val="0"/>
        </c:dLbls>
        <c:axId val="107671936"/>
        <c:axId val="107673856"/>
      </c:areaChart>
      <c:lineChart>
        <c:grouping val="standard"/>
        <c:varyColors val="0"/>
        <c:ser>
          <c:idx val="0"/>
          <c:order val="0"/>
          <c:tx>
            <c:strRef>
              <c:f>'Condensed Cash Flow'!$R$4</c:f>
              <c:strCache>
                <c:ptCount val="1"/>
                <c:pt idx="0">
                  <c:v>Revenue + Tax Benefit/(Liability)</c:v>
                </c:pt>
              </c:strCache>
            </c:strRef>
          </c:tx>
          <c:marker>
            <c:symbol val="none"/>
          </c:marker>
          <c:cat>
            <c:numRef>
              <c:f>'Condensed Cash Flow'!$B$6:$B$36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'Condensed Cash Flow'!$R$6:$R$36</c:f>
              <c:numCache>
                <c:formatCode>"$"#,##0_);[Red]\("$"#,##0\)</c:formatCode>
                <c:ptCount val="31"/>
                <c:pt idx="1">
                  <c:v>883358.01567444077</c:v>
                </c:pt>
                <c:pt idx="2">
                  <c:v>1021273.1260180305</c:v>
                </c:pt>
                <c:pt idx="3">
                  <c:v>942996.96874488879</c:v>
                </c:pt>
                <c:pt idx="4">
                  <c:v>881711.67831041117</c:v>
                </c:pt>
                <c:pt idx="5">
                  <c:v>858330.4701365669</c:v>
                </c:pt>
                <c:pt idx="6">
                  <c:v>844698.71629031643</c:v>
                </c:pt>
                <c:pt idx="7">
                  <c:v>834618.19508941961</c:v>
                </c:pt>
                <c:pt idx="8">
                  <c:v>804131.5280756345</c:v>
                </c:pt>
                <c:pt idx="9">
                  <c:v>781830.51338755165</c:v>
                </c:pt>
                <c:pt idx="10">
                  <c:v>801047.21318679175</c:v>
                </c:pt>
                <c:pt idx="11">
                  <c:v>749808.61380928196</c:v>
                </c:pt>
                <c:pt idx="12">
                  <c:v>740511.4900293689</c:v>
                </c:pt>
                <c:pt idx="13">
                  <c:v>770565.01510355237</c:v>
                </c:pt>
                <c:pt idx="14">
                  <c:v>790008.11867482588</c:v>
                </c:pt>
                <c:pt idx="15">
                  <c:v>796992.12530645914</c:v>
                </c:pt>
                <c:pt idx="16">
                  <c:v>809818.52364048583</c:v>
                </c:pt>
                <c:pt idx="17">
                  <c:v>830454.13342171302</c:v>
                </c:pt>
                <c:pt idx="18">
                  <c:v>842207.93457751838</c:v>
                </c:pt>
                <c:pt idx="19">
                  <c:v>863677.17531208543</c:v>
                </c:pt>
                <c:pt idx="20">
                  <c:v>1093031.3094165104</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1-7571-4833-BC17-4FE8AA9DE141}"/>
            </c:ext>
          </c:extLst>
        </c:ser>
        <c:dLbls>
          <c:showLegendKey val="0"/>
          <c:showVal val="0"/>
          <c:showCatName val="0"/>
          <c:showSerName val="0"/>
          <c:showPercent val="0"/>
          <c:showBubbleSize val="0"/>
        </c:dLbls>
        <c:marker val="1"/>
        <c:smooth val="0"/>
        <c:axId val="107671936"/>
        <c:axId val="107673856"/>
      </c:lineChart>
      <c:catAx>
        <c:axId val="107671936"/>
        <c:scaling>
          <c:orientation val="minMax"/>
        </c:scaling>
        <c:delete val="0"/>
        <c:axPos val="b"/>
        <c:title>
          <c:tx>
            <c:rich>
              <a:bodyPr/>
              <a:lstStyle/>
              <a:p>
                <a:pPr>
                  <a:defRPr sz="1100"/>
                </a:pPr>
                <a:r>
                  <a:rPr lang="en-US" sz="1100"/>
                  <a:t>Project Year</a:t>
                </a:r>
              </a:p>
            </c:rich>
          </c:tx>
          <c:overlay val="0"/>
        </c:title>
        <c:numFmt formatCode="General" sourceLinked="1"/>
        <c:majorTickMark val="out"/>
        <c:minorTickMark val="none"/>
        <c:tickLblPos val="nextTo"/>
        <c:crossAx val="107673856"/>
        <c:crosses val="autoZero"/>
        <c:auto val="1"/>
        <c:lblAlgn val="ctr"/>
        <c:lblOffset val="100"/>
        <c:tickLblSkip val="5"/>
        <c:noMultiLvlLbl val="0"/>
      </c:catAx>
      <c:valAx>
        <c:axId val="107673856"/>
        <c:scaling>
          <c:orientation val="minMax"/>
        </c:scaling>
        <c:delete val="0"/>
        <c:axPos val="l"/>
        <c:title>
          <c:tx>
            <c:rich>
              <a:bodyPr rot="-5400000" vert="horz"/>
              <a:lstStyle/>
              <a:p>
                <a:pPr>
                  <a:defRPr sz="1100" b="1"/>
                </a:pPr>
                <a:r>
                  <a:rPr lang="en-US" sz="1100" b="1"/>
                  <a:t>( $)</a:t>
                </a:r>
              </a:p>
            </c:rich>
          </c:tx>
          <c:overlay val="0"/>
        </c:title>
        <c:numFmt formatCode="&quot;$&quot;#,##0" sourceLinked="0"/>
        <c:majorTickMark val="out"/>
        <c:minorTickMark val="none"/>
        <c:tickLblPos val="nextTo"/>
        <c:crossAx val="107671936"/>
        <c:crosses val="autoZero"/>
        <c:crossBetween val="between"/>
      </c:valAx>
      <c:spPr>
        <a:solidFill>
          <a:srgbClr val="FFFF99"/>
        </a:solidFill>
      </c:spPr>
    </c:plotArea>
    <c:legend>
      <c:legendPos val="r"/>
      <c:overlay val="1"/>
    </c:legend>
    <c:plotVisOnly val="1"/>
    <c:dispBlanksAs val="gap"/>
    <c:showDLblsOverMax val="0"/>
  </c:chart>
  <c:spPr>
    <a:solidFill>
      <a:srgbClr val="FFFF99"/>
    </a:solidFill>
  </c:spPr>
  <c:printSettings>
    <c:headerFooter/>
    <c:pageMargins b="0.75000000000001232" l="0.70000000000000062" r="0.70000000000000062" t="0.75000000000001232"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Incremental After-Tax Cash Flow</a:t>
            </a:r>
          </a:p>
        </c:rich>
      </c:tx>
      <c:overlay val="1"/>
    </c:title>
    <c:autoTitleDeleted val="0"/>
    <c:plotArea>
      <c:layout/>
      <c:barChart>
        <c:barDir val="col"/>
        <c:grouping val="clustered"/>
        <c:varyColors val="0"/>
        <c:ser>
          <c:idx val="0"/>
          <c:order val="0"/>
          <c:tx>
            <c:strRef>
              <c:f>'Condensed Cash Flow'!$M$4</c:f>
              <c:strCache>
                <c:ptCount val="1"/>
                <c:pt idx="0">
                  <c:v>After Tax Cash Flow</c:v>
                </c:pt>
              </c:strCache>
            </c:strRef>
          </c:tx>
          <c:invertIfNegative val="0"/>
          <c:cat>
            <c:numRef>
              <c:f>'Condensed Cash Flow'!$B$6:$B$36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'Condensed Cash Flow'!$M$6:$M$36</c:f>
              <c:numCache>
                <c:formatCode>"$"#,##0_);[Red]\("$"#,##0\)</c:formatCode>
                <c:ptCount val="31"/>
                <c:pt idx="0">
                  <c:v>-2666978.3572946326</c:v>
                </c:pt>
                <c:pt idx="1">
                  <c:v>438800.38813301933</c:v>
                </c:pt>
                <c:pt idx="2">
                  <c:v>612445.09754791076</c:v>
                </c:pt>
                <c:pt idx="3">
                  <c:v>400416.79612547636</c:v>
                </c:pt>
                <c:pt idx="4">
                  <c:v>410195.33154211147</c:v>
                </c:pt>
                <c:pt idx="5">
                  <c:v>380250.57282267185</c:v>
                </c:pt>
                <c:pt idx="6">
                  <c:v>277682.23457351711</c:v>
                </c:pt>
                <c:pt idx="7">
                  <c:v>343053.28094906436</c:v>
                </c:pt>
                <c:pt idx="8">
                  <c:v>220065.1752398228</c:v>
                </c:pt>
                <c:pt idx="9">
                  <c:v>276294.40987298382</c:v>
                </c:pt>
                <c:pt idx="10">
                  <c:v>134997.3579005166</c:v>
                </c:pt>
                <c:pt idx="11">
                  <c:v>279836.54834791855</c:v>
                </c:pt>
                <c:pt idx="12">
                  <c:v>404708.46116784419</c:v>
                </c:pt>
                <c:pt idx="13">
                  <c:v>271502.41856753477</c:v>
                </c:pt>
                <c:pt idx="14">
                  <c:v>377338.16299708985</c:v>
                </c:pt>
                <c:pt idx="15">
                  <c:v>376068.77051516838</c:v>
                </c:pt>
                <c:pt idx="16">
                  <c:v>280209.30369569169</c:v>
                </c:pt>
                <c:pt idx="17">
                  <c:v>392525.47509685415</c:v>
                </c:pt>
                <c:pt idx="18">
                  <c:v>291202.50214695459</c:v>
                </c:pt>
                <c:pt idx="19">
                  <c:v>408056.19919090212</c:v>
                </c:pt>
                <c:pt idx="20">
                  <c:v>482624.14804165321</c:v>
                </c:pt>
                <c:pt idx="21">
                  <c:v>0</c:v>
                </c:pt>
                <c:pt idx="23">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DCFF-4DA9-A609-33423CE4E35F}"/>
            </c:ext>
          </c:extLst>
        </c:ser>
        <c:dLbls>
          <c:showLegendKey val="0"/>
          <c:showVal val="0"/>
          <c:showCatName val="0"/>
          <c:showSerName val="0"/>
          <c:showPercent val="0"/>
          <c:showBubbleSize val="0"/>
        </c:dLbls>
        <c:gapWidth val="150"/>
        <c:axId val="140104832"/>
        <c:axId val="140757248"/>
      </c:barChart>
      <c:catAx>
        <c:axId val="140104832"/>
        <c:scaling>
          <c:orientation val="minMax"/>
        </c:scaling>
        <c:delete val="0"/>
        <c:axPos val="b"/>
        <c:title>
          <c:tx>
            <c:rich>
              <a:bodyPr/>
              <a:lstStyle/>
              <a:p>
                <a:pPr>
                  <a:defRPr sz="1100"/>
                </a:pPr>
                <a:r>
                  <a:rPr lang="en-US" sz="1100"/>
                  <a:t>Project Year</a:t>
                </a:r>
              </a:p>
            </c:rich>
          </c:tx>
          <c:overlay val="0"/>
        </c:title>
        <c:numFmt formatCode="General" sourceLinked="1"/>
        <c:majorTickMark val="out"/>
        <c:minorTickMark val="none"/>
        <c:tickLblPos val="nextTo"/>
        <c:crossAx val="140757248"/>
        <c:crosses val="autoZero"/>
        <c:auto val="1"/>
        <c:lblAlgn val="ctr"/>
        <c:lblOffset val="100"/>
        <c:noMultiLvlLbl val="0"/>
      </c:catAx>
      <c:valAx>
        <c:axId val="140757248"/>
        <c:scaling>
          <c:orientation val="minMax"/>
        </c:scaling>
        <c:delete val="0"/>
        <c:axPos val="l"/>
        <c:title>
          <c:tx>
            <c:rich>
              <a:bodyPr rot="-5400000" vert="horz"/>
              <a:lstStyle/>
              <a:p>
                <a:pPr>
                  <a:defRPr sz="1100" b="1"/>
                </a:pPr>
                <a:r>
                  <a:rPr lang="en-US" sz="1100" b="1"/>
                  <a:t>Cumulative Cash Flow ($)</a:t>
                </a:r>
              </a:p>
            </c:rich>
          </c:tx>
          <c:overlay val="0"/>
        </c:title>
        <c:numFmt formatCode="&quot;$&quot;#,##0_);[Red]\(&quot;$&quot;#,##0\)" sourceLinked="1"/>
        <c:majorTickMark val="out"/>
        <c:minorTickMark val="none"/>
        <c:tickLblPos val="nextTo"/>
        <c:crossAx val="140104832"/>
        <c:crosses val="autoZero"/>
        <c:crossBetween val="between"/>
      </c:valAx>
      <c:spPr>
        <a:solidFill>
          <a:srgbClr val="FFFF99"/>
        </a:solidFill>
      </c:spPr>
    </c:plotArea>
    <c:plotVisOnly val="1"/>
    <c:dispBlanksAs val="gap"/>
    <c:showDLblsOverMax val="0"/>
  </c:chart>
  <c:spPr>
    <a:solidFill>
      <a:srgbClr val="FFFF99"/>
    </a:solidFill>
  </c:spPr>
  <c:printSettings>
    <c:headerFooter/>
    <c:pageMargins b="0.7500000000000121" l="0.70000000000000062" r="0.70000000000000062" t="0.7500000000000121"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2</xdr:col>
      <xdr:colOff>289212</xdr:colOff>
      <xdr:row>48</xdr:row>
      <xdr:rowOff>84858</xdr:rowOff>
    </xdr:from>
    <xdr:to>
      <xdr:col>10</xdr:col>
      <xdr:colOff>153957</xdr:colOff>
      <xdr:row>52</xdr:row>
      <xdr:rowOff>75333</xdr:rowOff>
    </xdr:to>
    <xdr:pic>
      <xdr:nvPicPr>
        <xdr:cNvPr id="3" name="Picture 2">
          <a:extLst>
            <a:ext uri="{FF2B5EF4-FFF2-40B4-BE49-F238E27FC236}">
              <a16:creationId xmlns:a16="http://schemas.microsoft.com/office/drawing/2014/main" id="{F84C5EF0-2A6D-4B68-BF7E-9C74C2E48A4B}"/>
            </a:ext>
          </a:extLst>
        </xdr:cNvPr>
        <xdr:cNvPicPr>
          <a:picLocks noChangeAspect="1"/>
        </xdr:cNvPicPr>
      </xdr:nvPicPr>
      <xdr:blipFill rotWithShape="1">
        <a:blip xmlns:r="http://schemas.openxmlformats.org/officeDocument/2006/relationships" r:embed="rId1"/>
        <a:srcRect t="11544" b="15349"/>
        <a:stretch/>
      </xdr:blipFill>
      <xdr:spPr>
        <a:xfrm>
          <a:off x="1501485" y="7176653"/>
          <a:ext cx="4713836" cy="717839"/>
        </a:xfrm>
        <a:prstGeom prst="rect">
          <a:avLst/>
        </a:prstGeom>
      </xdr:spPr>
    </xdr:pic>
    <xdr:clientData/>
  </xdr:twoCellAnchor>
  <xdr:twoCellAnchor editAs="oneCell">
    <xdr:from>
      <xdr:col>2</xdr:col>
      <xdr:colOff>181444</xdr:colOff>
      <xdr:row>55</xdr:row>
      <xdr:rowOff>47625</xdr:rowOff>
    </xdr:from>
    <xdr:to>
      <xdr:col>7</xdr:col>
      <xdr:colOff>314325</xdr:colOff>
      <xdr:row>61</xdr:row>
      <xdr:rowOff>153963</xdr:rowOff>
    </xdr:to>
    <xdr:pic>
      <xdr:nvPicPr>
        <xdr:cNvPr id="9" name="Picture 8">
          <a:extLst>
            <a:ext uri="{FF2B5EF4-FFF2-40B4-BE49-F238E27FC236}">
              <a16:creationId xmlns:a16="http://schemas.microsoft.com/office/drawing/2014/main" id="{87A9B6D5-C593-4D40-991C-3B79CD01A5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43494" y="11096625"/>
          <a:ext cx="3038006" cy="1249338"/>
        </a:xfrm>
        <a:prstGeom prst="rect">
          <a:avLst/>
        </a:prstGeom>
      </xdr:spPr>
    </xdr:pic>
    <xdr:clientData/>
  </xdr:twoCellAnchor>
  <xdr:oneCellAnchor>
    <xdr:from>
      <xdr:col>1</xdr:col>
      <xdr:colOff>19050</xdr:colOff>
      <xdr:row>10</xdr:row>
      <xdr:rowOff>104774</xdr:rowOff>
    </xdr:from>
    <xdr:ext cx="7486650" cy="7096125"/>
    <xdr:sp macro="" textlink="">
      <xdr:nvSpPr>
        <xdr:cNvPr id="11" name="TextBox 10">
          <a:extLst>
            <a:ext uri="{FF2B5EF4-FFF2-40B4-BE49-F238E27FC236}">
              <a16:creationId xmlns:a16="http://schemas.microsoft.com/office/drawing/2014/main" id="{E8D66221-6992-19DA-AA12-F84F5C74F2F3}"/>
            </a:ext>
          </a:extLst>
        </xdr:cNvPr>
        <xdr:cNvSpPr txBox="1"/>
      </xdr:nvSpPr>
      <xdr:spPr>
        <a:xfrm>
          <a:off x="600075" y="2009774"/>
          <a:ext cx="7486650" cy="7096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solidFill>
                <a:schemeClr val="tx1"/>
              </a:solidFill>
              <a:effectLst/>
              <a:latin typeface="+mn-lt"/>
              <a:ea typeface="+mn-ea"/>
              <a:cs typeface="+mn-cs"/>
            </a:rPr>
            <a:t>This spreadsheet tool has been designed to assist stakeholders to evaluate the economics of a farm-based anaerobic digester utilizing manure as the main feedstock but with additions of food waste and warm season grasses, and</a:t>
          </a:r>
          <a:r>
            <a:rPr lang="en-US" sz="1200" baseline="0">
              <a:solidFill>
                <a:schemeClr val="tx1"/>
              </a:solidFill>
              <a:effectLst/>
              <a:latin typeface="+mn-lt"/>
              <a:ea typeface="+mn-ea"/>
              <a:cs typeface="+mn-cs"/>
            </a:rPr>
            <a:t> generating electricity from the biogas</a:t>
          </a:r>
          <a:r>
            <a:rPr lang="en-US" sz="1200">
              <a:solidFill>
                <a:schemeClr val="tx1"/>
              </a:solidFill>
              <a:effectLst/>
              <a:latin typeface="+mn-lt"/>
              <a:ea typeface="+mn-ea"/>
              <a:cs typeface="+mn-cs"/>
            </a:rPr>
            <a:t>.  </a:t>
          </a:r>
        </a:p>
        <a:p>
          <a:endParaRPr lang="en-US" sz="1200">
            <a:solidFill>
              <a:schemeClr val="tx1"/>
            </a:solidFill>
            <a:effectLst/>
            <a:latin typeface="+mn-lt"/>
            <a:ea typeface="+mn-ea"/>
            <a:cs typeface="+mn-cs"/>
          </a:endParaRPr>
        </a:p>
        <a:p>
          <a:r>
            <a:rPr lang="en-US" sz="1200">
              <a:solidFill>
                <a:schemeClr val="tx1"/>
              </a:solidFill>
              <a:effectLst/>
              <a:latin typeface="+mn-lt"/>
              <a:ea typeface="+mn-ea"/>
              <a:cs typeface="+mn-cs"/>
            </a:rPr>
            <a:t>There are 15 visible sheets.  The tabs are color-coded.  Yellow</a:t>
          </a:r>
          <a:r>
            <a:rPr lang="en-US" sz="1200" baseline="0">
              <a:solidFill>
                <a:schemeClr val="tx1"/>
              </a:solidFill>
              <a:effectLst/>
              <a:latin typeface="+mn-lt"/>
              <a:ea typeface="+mn-ea"/>
              <a:cs typeface="+mn-cs"/>
            </a:rPr>
            <a:t> tabs are for data entry.  Green tabs are for data entry for the switchgrass calculations.  Grey tabs contain calculations.  The sheets are</a:t>
          </a:r>
          <a:r>
            <a:rPr lang="en-US" sz="1200">
              <a:solidFill>
                <a:schemeClr val="tx1"/>
              </a:solidFill>
              <a:effectLst/>
              <a:latin typeface="+mn-lt"/>
              <a:ea typeface="+mn-ea"/>
              <a:cs typeface="+mn-cs"/>
            </a:rPr>
            <a:t>:</a:t>
          </a:r>
        </a:p>
        <a:p>
          <a:r>
            <a:rPr lang="en-US" sz="1200" b="1" u="sng">
              <a:solidFill>
                <a:schemeClr val="tx1"/>
              </a:solidFill>
              <a:effectLst/>
              <a:latin typeface="+mn-lt"/>
              <a:ea typeface="+mn-ea"/>
              <a:cs typeface="+mn-cs"/>
            </a:rPr>
            <a:t>Welcome </a:t>
          </a:r>
          <a:r>
            <a:rPr lang="en-US" sz="1200" b="0" u="none" baseline="0">
              <a:solidFill>
                <a:schemeClr val="tx1"/>
              </a:solidFill>
              <a:effectLst/>
              <a:latin typeface="+mn-lt"/>
              <a:ea typeface="+mn-ea"/>
              <a:cs typeface="+mn-cs"/>
            </a:rPr>
            <a:t> (</a:t>
          </a:r>
          <a:r>
            <a:rPr lang="en-US" sz="1200" b="0" u="none">
              <a:solidFill>
                <a:schemeClr val="tx1"/>
              </a:solidFill>
              <a:effectLst/>
              <a:latin typeface="+mn-lt"/>
              <a:ea typeface="+mn-ea"/>
              <a:cs typeface="+mn-cs"/>
            </a:rPr>
            <a:t>where you are now)</a:t>
          </a:r>
        </a:p>
        <a:p>
          <a:r>
            <a:rPr lang="en-US" sz="1200" b="1" i="0" u="sng">
              <a:solidFill>
                <a:schemeClr val="tx1"/>
              </a:solidFill>
              <a:effectLst/>
              <a:latin typeface="+mn-lt"/>
              <a:ea typeface="+mn-ea"/>
              <a:cs typeface="+mn-cs"/>
            </a:rPr>
            <a:t>Background</a:t>
          </a:r>
          <a:r>
            <a:rPr lang="en-US" sz="1200" b="0" u="none">
              <a:solidFill>
                <a:schemeClr val="tx1"/>
              </a:solidFill>
              <a:effectLst/>
              <a:latin typeface="+mn-lt"/>
              <a:ea typeface="+mn-ea"/>
              <a:cs typeface="+mn-cs"/>
            </a:rPr>
            <a:t> - authorship</a:t>
          </a:r>
          <a:r>
            <a:rPr lang="en-US" sz="1200" b="0" u="none" baseline="0">
              <a:solidFill>
                <a:schemeClr val="tx1"/>
              </a:solidFill>
              <a:effectLst/>
              <a:latin typeface="+mn-lt"/>
              <a:ea typeface="+mn-ea"/>
              <a:cs typeface="+mn-cs"/>
            </a:rPr>
            <a:t>, version number, and related information</a:t>
          </a:r>
          <a:endParaRPr lang="en-US" sz="1200" b="0" u="none">
            <a:solidFill>
              <a:schemeClr val="tx1"/>
            </a:solidFill>
            <a:effectLst/>
            <a:latin typeface="+mn-lt"/>
            <a:ea typeface="+mn-ea"/>
            <a:cs typeface="+mn-cs"/>
          </a:endParaRPr>
        </a:p>
        <a:p>
          <a:r>
            <a:rPr lang="en-US" sz="1200" b="1" u="sng">
              <a:solidFill>
                <a:schemeClr val="tx1"/>
              </a:solidFill>
              <a:effectLst/>
              <a:latin typeface="+mn-lt"/>
              <a:ea typeface="+mn-ea"/>
              <a:cs typeface="+mn-cs"/>
            </a:rPr>
            <a:t>Key inputs &amp; outputs </a:t>
          </a:r>
          <a:r>
            <a:rPr lang="en-US" sz="1200" b="0" u="none">
              <a:solidFill>
                <a:schemeClr val="tx1"/>
              </a:solidFill>
              <a:effectLst/>
              <a:latin typeface="+mn-lt"/>
              <a:ea typeface="+mn-ea"/>
              <a:cs typeface="+mn-cs"/>
            </a:rPr>
            <a:t>- starting</a:t>
          </a:r>
          <a:r>
            <a:rPr lang="en-US" sz="1200" b="0" u="none" baseline="0">
              <a:solidFill>
                <a:schemeClr val="tx1"/>
              </a:solidFill>
              <a:effectLst/>
              <a:latin typeface="+mn-lt"/>
              <a:ea typeface="+mn-ea"/>
              <a:cs typeface="+mn-cs"/>
            </a:rPr>
            <a:t> point for a digester generating electricity from manure alone or with food wastes</a:t>
          </a:r>
          <a:endParaRPr lang="en-US" sz="1200" b="0" u="none">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u="sng">
              <a:solidFill>
                <a:schemeClr val="tx1"/>
              </a:solidFill>
              <a:effectLst/>
              <a:latin typeface="+mn-lt"/>
              <a:ea typeface="+mn-ea"/>
              <a:cs typeface="+mn-cs"/>
            </a:rPr>
            <a:t>Financial inputs</a:t>
          </a:r>
          <a:r>
            <a:rPr lang="en-US" sz="1200" b="0" u="none">
              <a:solidFill>
                <a:schemeClr val="tx1"/>
              </a:solidFill>
              <a:effectLst/>
              <a:latin typeface="+mn-lt"/>
              <a:ea typeface="+mn-ea"/>
              <a:cs typeface="+mn-cs"/>
            </a:rPr>
            <a:t> - </a:t>
          </a:r>
          <a:r>
            <a:rPr lang="en-US" sz="1200" b="0">
              <a:solidFill>
                <a:schemeClr val="tx1"/>
              </a:solidFill>
              <a:effectLst/>
              <a:latin typeface="+mn-lt"/>
              <a:ea typeface="+mn-ea"/>
              <a:cs typeface="+mn-cs"/>
            </a:rPr>
            <a:t>see the extra inputs in this sheet to finetune</a:t>
          </a:r>
          <a:r>
            <a:rPr lang="en-US" sz="1200" b="0" baseline="0">
              <a:solidFill>
                <a:schemeClr val="tx1"/>
              </a:solidFill>
              <a:effectLst/>
              <a:latin typeface="+mn-lt"/>
              <a:ea typeface="+mn-ea"/>
              <a:cs typeface="+mn-cs"/>
            </a:rPr>
            <a:t> the analysis</a:t>
          </a:r>
        </a:p>
        <a:p>
          <a:pPr marL="0" marR="0" lvl="0" indent="0" defTabSz="914400" eaLnBrk="1" fontAlgn="auto" latinLnBrk="0" hangingPunct="1">
            <a:lnSpc>
              <a:spcPct val="100000"/>
            </a:lnSpc>
            <a:spcBef>
              <a:spcPts val="0"/>
            </a:spcBef>
            <a:spcAft>
              <a:spcPts val="0"/>
            </a:spcAft>
            <a:buClrTx/>
            <a:buSzTx/>
            <a:buFontTx/>
            <a:buNone/>
            <a:tabLst/>
            <a:defRPr/>
          </a:pPr>
          <a:r>
            <a:rPr lang="en-US" sz="1200" b="1" u="sng" baseline="0">
              <a:solidFill>
                <a:schemeClr val="tx1"/>
              </a:solidFill>
              <a:effectLst/>
              <a:latin typeface="+mn-lt"/>
              <a:ea typeface="+mn-ea"/>
              <a:cs typeface="+mn-cs"/>
            </a:rPr>
            <a:t>Nutrient inputs</a:t>
          </a:r>
          <a:r>
            <a:rPr lang="en-US" sz="1100" b="1" u="sng">
              <a:solidFill>
                <a:schemeClr val="tx1"/>
              </a:solidFill>
              <a:effectLst/>
              <a:latin typeface="+mn-lt"/>
              <a:ea typeface="+mn-ea"/>
              <a:cs typeface="+mn-cs"/>
            </a:rPr>
            <a:t>- </a:t>
          </a:r>
          <a:r>
            <a:rPr lang="en-US" sz="1100" b="0">
              <a:solidFill>
                <a:schemeClr val="tx1"/>
              </a:solidFill>
              <a:effectLst/>
              <a:latin typeface="+mn-lt"/>
              <a:ea typeface="+mn-ea"/>
              <a:cs typeface="+mn-cs"/>
            </a:rPr>
            <a:t>see the extra inputs in this sheet to finetune</a:t>
          </a:r>
          <a:r>
            <a:rPr lang="en-US" sz="1100" b="0" baseline="0">
              <a:solidFill>
                <a:schemeClr val="tx1"/>
              </a:solidFill>
              <a:effectLst/>
              <a:latin typeface="+mn-lt"/>
              <a:ea typeface="+mn-ea"/>
              <a:cs typeface="+mn-cs"/>
            </a:rPr>
            <a:t> the analysis</a:t>
          </a:r>
        </a:p>
        <a:p>
          <a:r>
            <a:rPr lang="en-US" sz="1200" b="1" u="sng">
              <a:solidFill>
                <a:schemeClr val="tx1"/>
              </a:solidFill>
              <a:effectLst/>
              <a:latin typeface="+mn-lt"/>
              <a:ea typeface="+mn-ea"/>
              <a:cs typeface="+mn-cs"/>
            </a:rPr>
            <a:t>Switchgrass_Key_Inputs</a:t>
          </a:r>
          <a:r>
            <a:rPr lang="en-US" sz="1200" b="0">
              <a:solidFill>
                <a:schemeClr val="tx1"/>
              </a:solidFill>
              <a:effectLst/>
              <a:latin typeface="+mn-lt"/>
              <a:ea typeface="+mn-ea"/>
              <a:cs typeface="+mn-cs"/>
            </a:rPr>
            <a:t> </a:t>
          </a:r>
          <a:r>
            <a:rPr lang="en-US" sz="1100" b="0">
              <a:solidFill>
                <a:schemeClr val="tx1"/>
              </a:solidFill>
              <a:effectLst/>
              <a:latin typeface="+mn-lt"/>
              <a:ea typeface="+mn-ea"/>
              <a:cs typeface="+mn-cs"/>
            </a:rPr>
            <a:t>- extra</a:t>
          </a:r>
          <a:r>
            <a:rPr lang="en-US" sz="1100" b="0" baseline="0">
              <a:solidFill>
                <a:schemeClr val="tx1"/>
              </a:solidFill>
              <a:effectLst/>
              <a:latin typeface="+mn-lt"/>
              <a:ea typeface="+mn-ea"/>
              <a:cs typeface="+mn-cs"/>
            </a:rPr>
            <a:t> inputs for the cost of growing switchgrass as an extra feedstock</a:t>
          </a:r>
          <a:endParaRPr lang="en-US">
            <a:effectLst/>
          </a:endParaRPr>
        </a:p>
        <a:p>
          <a:r>
            <a:rPr lang="en-US" sz="1200" b="1" u="sng">
              <a:solidFill>
                <a:schemeClr val="tx1"/>
              </a:solidFill>
              <a:effectLst/>
              <a:latin typeface="+mn-lt"/>
              <a:ea typeface="+mn-ea"/>
              <a:cs typeface="+mn-cs"/>
            </a:rPr>
            <a:t>Switchgrass_Budget</a:t>
          </a:r>
          <a:r>
            <a:rPr lang="en-US" sz="1200" b="0">
              <a:solidFill>
                <a:schemeClr val="tx1"/>
              </a:solidFill>
              <a:effectLst/>
              <a:latin typeface="+mn-lt"/>
              <a:ea typeface="+mn-ea"/>
              <a:cs typeface="+mn-cs"/>
            </a:rPr>
            <a:t> </a:t>
          </a:r>
          <a:r>
            <a:rPr lang="en-US" sz="1100" b="0">
              <a:solidFill>
                <a:schemeClr val="tx1"/>
              </a:solidFill>
              <a:effectLst/>
              <a:latin typeface="+mn-lt"/>
              <a:ea typeface="+mn-ea"/>
              <a:cs typeface="+mn-cs"/>
            </a:rPr>
            <a:t>- crop input quantities</a:t>
          </a:r>
          <a:r>
            <a:rPr lang="en-US" sz="1100" b="0" baseline="0">
              <a:solidFill>
                <a:schemeClr val="tx1"/>
              </a:solidFill>
              <a:effectLst/>
              <a:latin typeface="+mn-lt"/>
              <a:ea typeface="+mn-ea"/>
              <a:cs typeface="+mn-cs"/>
            </a:rPr>
            <a:t> and prices related to growing and harvesting switchgrass</a:t>
          </a:r>
        </a:p>
        <a:p>
          <a:pPr marL="0" marR="0" lvl="0" indent="0" defTabSz="914400" eaLnBrk="1" fontAlgn="auto" latinLnBrk="0" hangingPunct="1">
            <a:lnSpc>
              <a:spcPct val="100000"/>
            </a:lnSpc>
            <a:spcBef>
              <a:spcPts val="0"/>
            </a:spcBef>
            <a:spcAft>
              <a:spcPts val="0"/>
            </a:spcAft>
            <a:buClrTx/>
            <a:buSzTx/>
            <a:buFontTx/>
            <a:buNone/>
            <a:tabLst/>
            <a:defRPr/>
          </a:pPr>
          <a:r>
            <a:rPr lang="en-US" sz="1200" b="1" u="sng">
              <a:solidFill>
                <a:schemeClr val="tx1"/>
              </a:solidFill>
              <a:effectLst/>
              <a:latin typeface="+mn-lt"/>
              <a:ea typeface="+mn-ea"/>
              <a:cs typeface="+mn-cs"/>
            </a:rPr>
            <a:t>Sensitivity analysis</a:t>
          </a:r>
          <a:r>
            <a:rPr lang="en-US" sz="1200" b="0">
              <a:solidFill>
                <a:schemeClr val="tx1"/>
              </a:solidFill>
              <a:effectLst/>
              <a:latin typeface="+mn-lt"/>
              <a:ea typeface="+mn-ea"/>
              <a:cs typeface="+mn-cs"/>
            </a:rPr>
            <a:t> </a:t>
          </a:r>
          <a:r>
            <a:rPr lang="en-US" sz="1100" b="0">
              <a:solidFill>
                <a:schemeClr val="tx1"/>
              </a:solidFill>
              <a:effectLst/>
              <a:latin typeface="+mn-lt"/>
              <a:ea typeface="+mn-ea"/>
              <a:cs typeface="+mn-cs"/>
            </a:rPr>
            <a:t>- graphs and a few tables showing the sensitivity</a:t>
          </a:r>
          <a:r>
            <a:rPr lang="en-US" sz="1100" b="0" baseline="0">
              <a:solidFill>
                <a:schemeClr val="tx1"/>
              </a:solidFill>
              <a:effectLst/>
              <a:latin typeface="+mn-lt"/>
              <a:ea typeface="+mn-ea"/>
              <a:cs typeface="+mn-cs"/>
            </a:rPr>
            <a:t> to key inputs</a:t>
          </a:r>
          <a:endParaRPr lang="en-US" sz="1200" b="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u="sng">
              <a:solidFill>
                <a:schemeClr val="tx1"/>
              </a:solidFill>
              <a:effectLst/>
              <a:latin typeface="+mn-lt"/>
              <a:ea typeface="+mn-ea"/>
              <a:cs typeface="+mn-cs"/>
            </a:rPr>
            <a:t>Saved scenarios</a:t>
          </a:r>
          <a:r>
            <a:rPr lang="en-US" sz="1200" b="0">
              <a:solidFill>
                <a:schemeClr val="tx1"/>
              </a:solidFill>
              <a:effectLst/>
              <a:latin typeface="+mn-lt"/>
              <a:ea typeface="+mn-ea"/>
              <a:cs typeface="+mn-cs"/>
            </a:rPr>
            <a:t> </a:t>
          </a:r>
          <a:r>
            <a:rPr lang="en-US" sz="1100" b="0">
              <a:solidFill>
                <a:schemeClr val="tx1"/>
              </a:solidFill>
              <a:effectLst/>
              <a:latin typeface="+mn-lt"/>
              <a:ea typeface="+mn-ea"/>
              <a:cs typeface="+mn-cs"/>
            </a:rPr>
            <a:t>- manually copy and paste</a:t>
          </a:r>
          <a:r>
            <a:rPr lang="en-US" sz="1100" b="0" baseline="0">
              <a:solidFill>
                <a:schemeClr val="tx1"/>
              </a:solidFill>
              <a:effectLst/>
              <a:latin typeface="+mn-lt"/>
              <a:ea typeface="+mn-ea"/>
              <a:cs typeface="+mn-cs"/>
            </a:rPr>
            <a:t> the results into the additional columns for side-by-side comparisons</a:t>
          </a:r>
          <a:endParaRPr lang="en-US" sz="1200" b="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u="sng" baseline="0">
              <a:solidFill>
                <a:schemeClr val="tx1"/>
              </a:solidFill>
              <a:effectLst/>
              <a:latin typeface="+mn-lt"/>
              <a:ea typeface="+mn-ea"/>
              <a:cs typeface="+mn-cs"/>
            </a:rPr>
            <a:t>N_Availability </a:t>
          </a:r>
          <a:r>
            <a:rPr lang="en-US" sz="1200" b="0" u="none" baseline="0">
              <a:solidFill>
                <a:schemeClr val="tx1"/>
              </a:solidFill>
              <a:effectLst/>
              <a:latin typeface="+mn-lt"/>
              <a:ea typeface="+mn-ea"/>
              <a:cs typeface="+mn-cs"/>
            </a:rPr>
            <a:t>- Table 1.2-12 from the 2023-24 PSU Agronomy Guide with N availability default values</a:t>
          </a:r>
          <a:endParaRPr lang="en-US" sz="1200" b="0" u="none">
            <a:solidFill>
              <a:schemeClr val="tx1"/>
            </a:solidFill>
            <a:effectLst/>
            <a:latin typeface="+mn-lt"/>
            <a:ea typeface="+mn-ea"/>
            <a:cs typeface="+mn-cs"/>
          </a:endParaRPr>
        </a:p>
        <a:p>
          <a:r>
            <a:rPr lang="en-US" sz="1200" b="1" u="sng">
              <a:solidFill>
                <a:schemeClr val="tx1"/>
              </a:solidFill>
              <a:effectLst/>
              <a:latin typeface="+mn-lt"/>
              <a:ea typeface="+mn-ea"/>
              <a:cs typeface="+mn-cs"/>
            </a:rPr>
            <a:t>Condensed cash flow</a:t>
          </a:r>
          <a:r>
            <a:rPr lang="en-US" sz="1200" b="0" u="none">
              <a:solidFill>
                <a:schemeClr val="tx1"/>
              </a:solidFill>
              <a:effectLst/>
              <a:latin typeface="+mn-lt"/>
              <a:ea typeface="+mn-ea"/>
              <a:cs typeface="+mn-cs"/>
            </a:rPr>
            <a:t> - inflows</a:t>
          </a:r>
          <a:r>
            <a:rPr lang="en-US" sz="1200" b="0" u="none" baseline="0">
              <a:solidFill>
                <a:schemeClr val="tx1"/>
              </a:solidFill>
              <a:effectLst/>
              <a:latin typeface="+mn-lt"/>
              <a:ea typeface="+mn-ea"/>
              <a:cs typeface="+mn-cs"/>
            </a:rPr>
            <a:t> and outflows with graphs</a:t>
          </a:r>
        </a:p>
        <a:p>
          <a:pPr marL="0" marR="0" lvl="0" indent="0" defTabSz="914400" eaLnBrk="1" fontAlgn="auto" latinLnBrk="0" hangingPunct="1">
            <a:lnSpc>
              <a:spcPct val="100000"/>
            </a:lnSpc>
            <a:spcBef>
              <a:spcPts val="0"/>
            </a:spcBef>
            <a:spcAft>
              <a:spcPts val="0"/>
            </a:spcAft>
            <a:buClrTx/>
            <a:buSzTx/>
            <a:buFontTx/>
            <a:buNone/>
            <a:tabLst/>
            <a:defRPr/>
          </a:pPr>
          <a:r>
            <a:rPr lang="en-US" sz="1200" b="1" u="sng">
              <a:solidFill>
                <a:schemeClr val="tx1"/>
              </a:solidFill>
              <a:effectLst/>
              <a:latin typeface="+mn-lt"/>
              <a:ea typeface="+mn-ea"/>
              <a:cs typeface="+mn-cs"/>
            </a:rPr>
            <a:t>Detailed cash flow</a:t>
          </a:r>
          <a:r>
            <a:rPr lang="en-US" sz="1200" b="0" u="none">
              <a:solidFill>
                <a:schemeClr val="tx1"/>
              </a:solidFill>
              <a:effectLst/>
              <a:latin typeface="+mn-lt"/>
              <a:ea typeface="+mn-ea"/>
              <a:cs typeface="+mn-cs"/>
            </a:rPr>
            <a:t> - </a:t>
          </a:r>
          <a:r>
            <a:rPr lang="en-US" sz="1200" b="0">
              <a:solidFill>
                <a:schemeClr val="tx1"/>
              </a:solidFill>
              <a:effectLst/>
              <a:latin typeface="+mn-lt"/>
              <a:ea typeface="+mn-ea"/>
              <a:cs typeface="+mn-cs"/>
            </a:rPr>
            <a:t>inflows and outflows with supporting operational and financial information</a:t>
          </a:r>
          <a:endParaRPr lang="en-US" sz="1200" b="0" u="none">
            <a:solidFill>
              <a:schemeClr val="tx1"/>
            </a:solidFill>
            <a:effectLst/>
            <a:latin typeface="+mn-lt"/>
            <a:ea typeface="+mn-ea"/>
            <a:cs typeface="+mn-cs"/>
          </a:endParaRPr>
        </a:p>
        <a:p>
          <a:r>
            <a:rPr lang="en-US" sz="1200" b="1" u="sng" baseline="0">
              <a:solidFill>
                <a:schemeClr val="tx1"/>
              </a:solidFill>
              <a:effectLst/>
              <a:latin typeface="+mn-lt"/>
              <a:ea typeface="+mn-ea"/>
              <a:cs typeface="+mn-cs"/>
            </a:rPr>
            <a:t>Nutrient chart </a:t>
          </a:r>
          <a:r>
            <a:rPr lang="en-US" sz="1200" b="0" u="none" baseline="0">
              <a:solidFill>
                <a:schemeClr val="tx1"/>
              </a:solidFill>
              <a:effectLst/>
              <a:latin typeface="+mn-lt"/>
              <a:ea typeface="+mn-ea"/>
              <a:cs typeface="+mn-cs"/>
            </a:rPr>
            <a:t>- flow chart of the nutrient flows, and table showing the nutrient valuation calculations</a:t>
          </a:r>
        </a:p>
        <a:p>
          <a:pPr marL="0" marR="0" lvl="0" indent="0" defTabSz="914400" eaLnBrk="1" fontAlgn="auto" latinLnBrk="0" hangingPunct="1">
            <a:lnSpc>
              <a:spcPct val="100000"/>
            </a:lnSpc>
            <a:spcBef>
              <a:spcPts val="0"/>
            </a:spcBef>
            <a:spcAft>
              <a:spcPts val="0"/>
            </a:spcAft>
            <a:buClrTx/>
            <a:buSzTx/>
            <a:buFontTx/>
            <a:buNone/>
            <a:tabLst/>
            <a:defRPr/>
          </a:pPr>
          <a:r>
            <a:rPr lang="en-US" sz="1200" b="1" u="sng">
              <a:solidFill>
                <a:schemeClr val="tx1"/>
              </a:solidFill>
              <a:effectLst/>
              <a:latin typeface="+mn-lt"/>
              <a:ea typeface="+mn-ea"/>
              <a:cs typeface="+mn-cs"/>
            </a:rPr>
            <a:t>Nutrient calculations</a:t>
          </a:r>
          <a:r>
            <a:rPr lang="en-US" sz="1100" b="0">
              <a:solidFill>
                <a:schemeClr val="tx1"/>
              </a:solidFill>
              <a:effectLst/>
              <a:latin typeface="+mn-lt"/>
              <a:ea typeface="+mn-ea"/>
              <a:cs typeface="+mn-cs"/>
            </a:rPr>
            <a:t> - </a:t>
          </a:r>
          <a:r>
            <a:rPr lang="en-US" sz="1100" b="0" i="0">
              <a:solidFill>
                <a:schemeClr val="tx1"/>
              </a:solidFill>
              <a:effectLst/>
              <a:latin typeface="+mn-lt"/>
              <a:ea typeface="+mn-ea"/>
              <a:cs typeface="+mn-cs"/>
            </a:rPr>
            <a:t>looks at the impact of digestion and solids separation</a:t>
          </a:r>
          <a:r>
            <a:rPr lang="en-US" sz="1100" b="0" i="0" baseline="0">
              <a:solidFill>
                <a:schemeClr val="tx1"/>
              </a:solidFill>
              <a:effectLst/>
              <a:latin typeface="+mn-lt"/>
              <a:ea typeface="+mn-ea"/>
              <a:cs typeface="+mn-cs"/>
            </a:rPr>
            <a:t> on the fertilizer nutrient value of the digestate, and contains the calculations for the numbers shown in the Nutrient_chart sheet</a:t>
          </a:r>
        </a:p>
        <a:p>
          <a:pPr marL="0" marR="0" lvl="0" indent="0" defTabSz="914400" eaLnBrk="1" fontAlgn="auto" latinLnBrk="0" hangingPunct="1">
            <a:lnSpc>
              <a:spcPct val="100000"/>
            </a:lnSpc>
            <a:spcBef>
              <a:spcPts val="0"/>
            </a:spcBef>
            <a:spcAft>
              <a:spcPts val="0"/>
            </a:spcAft>
            <a:buClrTx/>
            <a:buSzTx/>
            <a:buFontTx/>
            <a:buNone/>
            <a:tabLst/>
            <a:defRPr/>
          </a:pPr>
          <a:r>
            <a:rPr lang="en-US" sz="1200" b="1" i="0" u="sng" baseline="0">
              <a:solidFill>
                <a:schemeClr val="tx1"/>
              </a:solidFill>
              <a:effectLst/>
              <a:latin typeface="+mn-lt"/>
              <a:ea typeface="+mn-ea"/>
              <a:cs typeface="+mn-cs"/>
            </a:rPr>
            <a:t>Complex Inputs </a:t>
          </a:r>
          <a:r>
            <a:rPr lang="en-US" sz="1200" b="0" i="0" baseline="0">
              <a:solidFill>
                <a:schemeClr val="tx1"/>
              </a:solidFill>
              <a:effectLst/>
              <a:latin typeface="+mn-lt"/>
              <a:ea typeface="+mn-ea"/>
              <a:cs typeface="+mn-cs"/>
            </a:rPr>
            <a:t>- </a:t>
          </a:r>
          <a:r>
            <a:rPr lang="en-US" sz="1100" b="0" i="0" baseline="0">
              <a:solidFill>
                <a:schemeClr val="tx1"/>
              </a:solidFill>
              <a:effectLst/>
              <a:latin typeface="+mn-lt"/>
              <a:ea typeface="+mn-ea"/>
              <a:cs typeface="+mn-cs"/>
            </a:rPr>
            <a:t>an area to enter a more detailed list of capital cost items than is allowed in the Financial Inputs sheet</a:t>
          </a:r>
          <a:r>
            <a:rPr lang="en-US" sz="1200" b="0" i="0" baseline="0">
              <a:solidFill>
                <a:schemeClr val="tx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lang="en-US" sz="1200" b="1" u="sng">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a:solidFill>
                <a:schemeClr val="tx1"/>
              </a:solidFill>
              <a:effectLst/>
              <a:latin typeface="+mn-lt"/>
              <a:ea typeface="+mn-ea"/>
              <a:cs typeface="+mn-cs"/>
            </a:rPr>
            <a:t>This spreadsheet does NOT calculate the biogas output</a:t>
          </a:r>
          <a:r>
            <a:rPr lang="en-US" sz="1200" baseline="0">
              <a:solidFill>
                <a:schemeClr val="tx1"/>
              </a:solidFill>
              <a:effectLst/>
              <a:latin typeface="+mn-lt"/>
              <a:ea typeface="+mn-ea"/>
              <a:cs typeface="+mn-cs"/>
            </a:rPr>
            <a:t> of a digester.  The EPA Agstar AD spreadsheet screening tool is recommended for that calculation if the information is not available elsewhere.  That tool and its user manual are available at </a:t>
          </a:r>
          <a:r>
            <a:rPr lang="en-US" sz="1100" u="sng">
              <a:solidFill>
                <a:schemeClr val="tx1"/>
              </a:solidFill>
              <a:effectLst/>
              <a:latin typeface="+mn-lt"/>
              <a:ea typeface="+mn-ea"/>
              <a:cs typeface="+mn-cs"/>
              <a:hlinkClick xmlns:r="http://schemas.openxmlformats.org/officeDocument/2006/relationships" r:id=""/>
            </a:rPr>
            <a:t>https://www.epa.gov/agstar</a:t>
          </a:r>
          <a:r>
            <a:rPr lang="en-US" sz="1100" u="sng">
              <a:solidFill>
                <a:schemeClr val="tx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lang="en-US" sz="12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a:solidFill>
                <a:schemeClr val="tx1"/>
              </a:solidFill>
              <a:effectLst/>
              <a:latin typeface="+mn-lt"/>
              <a:ea typeface="+mn-ea"/>
              <a:cs typeface="+mn-cs"/>
            </a:rPr>
            <a:t>Some</a:t>
          </a:r>
          <a:r>
            <a:rPr lang="en-US" sz="1200" baseline="0">
              <a:solidFill>
                <a:schemeClr val="tx1"/>
              </a:solidFill>
              <a:effectLst/>
              <a:latin typeface="+mn-lt"/>
              <a:ea typeface="+mn-ea"/>
              <a:cs typeface="+mn-cs"/>
            </a:rPr>
            <a:t> </a:t>
          </a:r>
          <a:r>
            <a:rPr lang="en-US" sz="1200">
              <a:solidFill>
                <a:schemeClr val="tx1"/>
              </a:solidFill>
              <a:effectLst/>
              <a:latin typeface="+mn-lt"/>
              <a:ea typeface="+mn-ea"/>
              <a:cs typeface="+mn-cs"/>
            </a:rPr>
            <a:t>parts of this spreadsheet are repurposed from the </a:t>
          </a:r>
          <a:r>
            <a:rPr lang="en-US" sz="1200" baseline="0">
              <a:solidFill>
                <a:schemeClr val="tx1"/>
              </a:solidFill>
              <a:effectLst/>
              <a:latin typeface="+mn-lt"/>
              <a:ea typeface="+mn-ea"/>
              <a:cs typeface="+mn-cs"/>
            </a:rPr>
            <a:t>Cost of Renewable Energy Spreadsheet Tool (CREST) version 1.4 by Sustainable Energy Advantage, LLC under contract to the National Renewable Energy Laboratory.  The model output has been changed to investment criteria such as net present value and internal rate of return at a user-entered electricity sale price and other inputs, rather than a cost of energy as in that model.  Some of the switchgrass enterprise budget format is from the To Grow or Not Grow switchgrass budget spreadsheet by Jacobs, Mitchell and Hart.</a:t>
          </a:r>
          <a:endParaRPr lang="en-US" sz="1200" b="1" u="sng">
            <a:solidFill>
              <a:schemeClr val="tx1"/>
            </a:solidFill>
            <a:effectLst/>
            <a:latin typeface="+mn-lt"/>
            <a:ea typeface="+mn-ea"/>
            <a:cs typeface="+mn-cs"/>
          </a:endParaRPr>
        </a:p>
        <a:p>
          <a:endParaRPr lang="en-US" sz="1200">
            <a:solidFill>
              <a:schemeClr val="tx1"/>
            </a:solidFill>
            <a:effectLst/>
            <a:latin typeface="+mn-lt"/>
            <a:ea typeface="+mn-ea"/>
            <a:cs typeface="+mn-cs"/>
          </a:endParaRPr>
        </a:p>
        <a:p>
          <a:r>
            <a:rPr lang="en-US" sz="1200" b="1" i="1">
              <a:solidFill>
                <a:schemeClr val="tx1"/>
              </a:solidFill>
              <a:effectLst/>
              <a:latin typeface="+mn-lt"/>
              <a:ea typeface="+mn-ea"/>
              <a:cs typeface="+mn-cs"/>
            </a:rPr>
            <a:t>This research is part of a regional collaborative project supported by the USDA-NIFA,</a:t>
          </a:r>
          <a:r>
            <a:rPr lang="en-US" sz="1200" b="1" i="1" baseline="0">
              <a:solidFill>
                <a:schemeClr val="tx1"/>
              </a:solidFill>
              <a:effectLst/>
              <a:latin typeface="+mn-lt"/>
              <a:ea typeface="+mn-ea"/>
              <a:cs typeface="+mn-cs"/>
            </a:rPr>
            <a:t> </a:t>
          </a:r>
          <a:r>
            <a:rPr lang="en-US" sz="1200" b="1" i="1">
              <a:solidFill>
                <a:schemeClr val="tx1"/>
              </a:solidFill>
              <a:effectLst/>
              <a:latin typeface="+mn-lt"/>
              <a:ea typeface="+mn-ea"/>
              <a:cs typeface="+mn-cs"/>
            </a:rPr>
            <a:t>Award No. 2020-68012-31824, Consortium for Cultivating Human And Naturally reGenerative Enterprises.  </a:t>
          </a:r>
          <a:r>
            <a:rPr lang="en-US" sz="1200">
              <a:solidFill>
                <a:schemeClr val="tx1"/>
              </a:solidFill>
              <a:effectLst/>
              <a:latin typeface="+mn-lt"/>
              <a:ea typeface="+mn-ea"/>
              <a:cs typeface="+mn-cs"/>
            </a:rPr>
            <a:t>Any opinions, findings, conclusions, or recommendations expressed in this publication are those of the author(s) and do not necessarily reflect the view of the U.S. Department of Agriculture.</a:t>
          </a:r>
        </a:p>
        <a:p>
          <a:r>
            <a:rPr lang="en-US" sz="1200">
              <a:solidFill>
                <a:schemeClr val="tx1"/>
              </a:solidFill>
              <a:effectLst/>
              <a:latin typeface="+mn-lt"/>
              <a:ea typeface="+mn-ea"/>
              <a:cs typeface="+mn-cs"/>
            </a:rPr>
            <a:t> </a:t>
          </a:r>
        </a:p>
      </xdr:txBody>
    </xdr:sp>
    <xdr:clientData/>
  </xdr:oneCellAnchor>
  <xdr:twoCellAnchor>
    <xdr:from>
      <xdr:col>0</xdr:col>
      <xdr:colOff>76200</xdr:colOff>
      <xdr:row>0</xdr:row>
      <xdr:rowOff>47625</xdr:rowOff>
    </xdr:from>
    <xdr:to>
      <xdr:col>22</xdr:col>
      <xdr:colOff>123825</xdr:colOff>
      <xdr:row>8</xdr:row>
      <xdr:rowOff>104775</xdr:rowOff>
    </xdr:to>
    <xdr:sp macro="" textlink="">
      <xdr:nvSpPr>
        <xdr:cNvPr id="5" name="TextBox 4">
          <a:extLst>
            <a:ext uri="{FF2B5EF4-FFF2-40B4-BE49-F238E27FC236}">
              <a16:creationId xmlns:a16="http://schemas.microsoft.com/office/drawing/2014/main" id="{18194187-4067-479E-B422-59174C13D3DD}"/>
            </a:ext>
          </a:extLst>
        </xdr:cNvPr>
        <xdr:cNvSpPr txBox="1"/>
      </xdr:nvSpPr>
      <xdr:spPr>
        <a:xfrm>
          <a:off x="76200" y="47625"/>
          <a:ext cx="12973050" cy="1581150"/>
        </a:xfrm>
        <a:prstGeom prst="rect">
          <a:avLst/>
        </a:prstGeom>
        <a:gradFill flip="none" rotWithShape="1">
          <a:gsLst>
            <a:gs pos="0">
              <a:srgbClr val="002060"/>
            </a:gs>
            <a:gs pos="68000">
              <a:srgbClr val="002060"/>
            </a:gs>
            <a:gs pos="100000">
              <a:schemeClr val="bg1"/>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400" b="1" baseline="0">
              <a:solidFill>
                <a:schemeClr val="bg1"/>
              </a:solidFill>
              <a:latin typeface="Open Sans" panose="020B0606030504020204" pitchFamily="34" charset="0"/>
              <a:ea typeface="Open Sans" panose="020B0606030504020204" pitchFamily="34" charset="0"/>
              <a:cs typeface="Open Sans" panose="020B0606030504020204" pitchFamily="34" charset="0"/>
            </a:rPr>
            <a:t>Penn State Extension Digester Economics Tool, version 1.3</a:t>
          </a:r>
        </a:p>
      </xdr:txBody>
    </xdr:sp>
    <xdr:clientData/>
  </xdr:twoCellAnchor>
  <xdr:twoCellAnchor editAs="oneCell">
    <xdr:from>
      <xdr:col>10</xdr:col>
      <xdr:colOff>320713</xdr:colOff>
      <xdr:row>55</xdr:row>
      <xdr:rowOff>0</xdr:rowOff>
    </xdr:from>
    <xdr:to>
      <xdr:col>12</xdr:col>
      <xdr:colOff>348694</xdr:colOff>
      <xdr:row>62</xdr:row>
      <xdr:rowOff>95250</xdr:rowOff>
    </xdr:to>
    <xdr:pic>
      <xdr:nvPicPr>
        <xdr:cNvPr id="8" name="Picture 7">
          <a:extLst>
            <a:ext uri="{FF2B5EF4-FFF2-40B4-BE49-F238E27FC236}">
              <a16:creationId xmlns:a16="http://schemas.microsoft.com/office/drawing/2014/main" id="{57DF0031-C59A-F4E2-D597-59CE1112675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30963" y="11049000"/>
          <a:ext cx="1190031" cy="1428750"/>
        </a:xfrm>
        <a:prstGeom prst="rect">
          <a:avLst/>
        </a:prstGeom>
      </xdr:spPr>
    </xdr:pic>
    <xdr:clientData/>
  </xdr:twoCellAnchor>
  <xdr:twoCellAnchor editAs="oneCell">
    <xdr:from>
      <xdr:col>15</xdr:col>
      <xdr:colOff>415636</xdr:colOff>
      <xdr:row>10</xdr:row>
      <xdr:rowOff>181842</xdr:rowOff>
    </xdr:from>
    <xdr:to>
      <xdr:col>22</xdr:col>
      <xdr:colOff>305072</xdr:colOff>
      <xdr:row>24</xdr:row>
      <xdr:rowOff>148542</xdr:rowOff>
    </xdr:to>
    <xdr:pic>
      <xdr:nvPicPr>
        <xdr:cNvPr id="10" name="Picture 9">
          <a:extLst>
            <a:ext uri="{FF2B5EF4-FFF2-40B4-BE49-F238E27FC236}">
              <a16:creationId xmlns:a16="http://schemas.microsoft.com/office/drawing/2014/main" id="{BED0866A-B9A4-78E1-4202-3C87CCAD89B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265227" y="2086842"/>
          <a:ext cx="3950550" cy="2633700"/>
        </a:xfrm>
        <a:prstGeom prst="rect">
          <a:avLst/>
        </a:prstGeom>
      </xdr:spPr>
    </xdr:pic>
    <xdr:clientData/>
  </xdr:twoCellAnchor>
  <xdr:twoCellAnchor editAs="oneCell">
    <xdr:from>
      <xdr:col>15</xdr:col>
      <xdr:colOff>424295</xdr:colOff>
      <xdr:row>25</xdr:row>
      <xdr:rowOff>173182</xdr:rowOff>
    </xdr:from>
    <xdr:to>
      <xdr:col>22</xdr:col>
      <xdr:colOff>313731</xdr:colOff>
      <xdr:row>39</xdr:row>
      <xdr:rowOff>136454</xdr:rowOff>
    </xdr:to>
    <xdr:pic>
      <xdr:nvPicPr>
        <xdr:cNvPr id="13" name="Picture 12">
          <a:extLst>
            <a:ext uri="{FF2B5EF4-FFF2-40B4-BE49-F238E27FC236}">
              <a16:creationId xmlns:a16="http://schemas.microsoft.com/office/drawing/2014/main" id="{B1648371-BCA3-AFDB-5FA9-0C604666891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273886" y="4935682"/>
          <a:ext cx="3950550" cy="2639797"/>
        </a:xfrm>
        <a:prstGeom prst="rect">
          <a:avLst/>
        </a:prstGeom>
      </xdr:spPr>
    </xdr:pic>
    <xdr:clientData/>
  </xdr:twoCellAnchor>
  <xdr:twoCellAnchor editAs="oneCell">
    <xdr:from>
      <xdr:col>15</xdr:col>
      <xdr:colOff>409575</xdr:colOff>
      <xdr:row>40</xdr:row>
      <xdr:rowOff>76200</xdr:rowOff>
    </xdr:from>
    <xdr:to>
      <xdr:col>22</xdr:col>
      <xdr:colOff>262432</xdr:colOff>
      <xdr:row>55</xdr:row>
      <xdr:rowOff>157227</xdr:rowOff>
    </xdr:to>
    <xdr:pic>
      <xdr:nvPicPr>
        <xdr:cNvPr id="15" name="Picture 14">
          <a:extLst>
            <a:ext uri="{FF2B5EF4-FFF2-40B4-BE49-F238E27FC236}">
              <a16:creationId xmlns:a16="http://schemas.microsoft.com/office/drawing/2014/main" id="{A1762287-F502-7F0D-CE3F-D1ABF74E3A1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267825" y="7705725"/>
          <a:ext cx="3920032" cy="2938527"/>
        </a:xfrm>
        <a:prstGeom prst="rect">
          <a:avLst/>
        </a:prstGeom>
      </xdr:spPr>
    </xdr:pic>
    <xdr:clientData/>
  </xdr:twoCellAnchor>
  <xdr:oneCellAnchor>
    <xdr:from>
      <xdr:col>16</xdr:col>
      <xdr:colOff>95250</xdr:colOff>
      <xdr:row>64</xdr:row>
      <xdr:rowOff>171450</xdr:rowOff>
    </xdr:from>
    <xdr:ext cx="2507674" cy="264560"/>
    <xdr:sp macro="" textlink="">
      <xdr:nvSpPr>
        <xdr:cNvPr id="2" name="TextBox 1">
          <a:extLst>
            <a:ext uri="{FF2B5EF4-FFF2-40B4-BE49-F238E27FC236}">
              <a16:creationId xmlns:a16="http://schemas.microsoft.com/office/drawing/2014/main" id="{B1913420-8FB3-F7FE-8251-3A088DD132CF}"/>
            </a:ext>
          </a:extLst>
        </xdr:cNvPr>
        <xdr:cNvSpPr txBox="1"/>
      </xdr:nvSpPr>
      <xdr:spPr>
        <a:xfrm>
          <a:off x="9534525" y="10648950"/>
          <a:ext cx="250767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a:solidFill>
                <a:schemeClr val="tx1"/>
              </a:solidFill>
              <a:effectLst/>
              <a:latin typeface="+mn-lt"/>
              <a:ea typeface="+mn-ea"/>
              <a:cs typeface="+mn-cs"/>
            </a:rPr>
            <a:t>Photos courtesy of Iowa State University</a:t>
          </a:r>
          <a:endParaRPr lang="en-US" sz="1100"/>
        </a:p>
      </xdr:txBody>
    </xdr:sp>
    <xdr:clientData/>
  </xdr:oneCellAnchor>
  <xdr:oneCellAnchor>
    <xdr:from>
      <xdr:col>7</xdr:col>
      <xdr:colOff>114300</xdr:colOff>
      <xdr:row>10</xdr:row>
      <xdr:rowOff>85725</xdr:rowOff>
    </xdr:from>
    <xdr:ext cx="184731" cy="264560"/>
    <xdr:sp macro="" textlink="">
      <xdr:nvSpPr>
        <xdr:cNvPr id="4" name="TextBox 3">
          <a:extLst>
            <a:ext uri="{FF2B5EF4-FFF2-40B4-BE49-F238E27FC236}">
              <a16:creationId xmlns:a16="http://schemas.microsoft.com/office/drawing/2014/main" id="{568C6212-DB8B-A68D-120D-B2A5E62599CB}"/>
            </a:ext>
          </a:extLst>
        </xdr:cNvPr>
        <xdr:cNvSpPr txBox="1"/>
      </xdr:nvSpPr>
      <xdr:spPr>
        <a:xfrm>
          <a:off x="4181475" y="199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372870</xdr:colOff>
      <xdr:row>0</xdr:row>
      <xdr:rowOff>1022349</xdr:rowOff>
    </xdr:to>
    <xdr:pic>
      <xdr:nvPicPr>
        <xdr:cNvPr id="2" name="Picture 1">
          <a:extLst>
            <a:ext uri="{FF2B5EF4-FFF2-40B4-BE49-F238E27FC236}">
              <a16:creationId xmlns:a16="http://schemas.microsoft.com/office/drawing/2014/main" id="{95FCC7E9-22AA-465E-8F8B-4B0CAD9EBB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484370" cy="10191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314325</xdr:colOff>
      <xdr:row>17</xdr:row>
      <xdr:rowOff>161925</xdr:rowOff>
    </xdr:from>
    <xdr:to>
      <xdr:col>12</xdr:col>
      <xdr:colOff>790575</xdr:colOff>
      <xdr:row>47</xdr:row>
      <xdr:rowOff>180974</xdr:rowOff>
    </xdr:to>
    <xdr:graphicFrame macro="">
      <xdr:nvGraphicFramePr>
        <xdr:cNvPr id="3" name="Chart 2">
          <a:extLst>
            <a:ext uri="{FF2B5EF4-FFF2-40B4-BE49-F238E27FC236}">
              <a16:creationId xmlns:a16="http://schemas.microsoft.com/office/drawing/2014/main" id="{9D1B1C5D-4DDD-46F1-83E3-C58F6D75AB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1466850</xdr:colOff>
      <xdr:row>48</xdr:row>
      <xdr:rowOff>57150</xdr:rowOff>
    </xdr:from>
    <xdr:ext cx="966034" cy="405432"/>
    <xdr:sp macro="" textlink="">
      <xdr:nvSpPr>
        <xdr:cNvPr id="2" name="TextBox 1">
          <a:extLst>
            <a:ext uri="{FF2B5EF4-FFF2-40B4-BE49-F238E27FC236}">
              <a16:creationId xmlns:a16="http://schemas.microsoft.com/office/drawing/2014/main" id="{2B83123D-9C00-7F28-1CC8-FC4897FE2002}"/>
            </a:ext>
          </a:extLst>
        </xdr:cNvPr>
        <xdr:cNvSpPr txBox="1"/>
      </xdr:nvSpPr>
      <xdr:spPr>
        <a:xfrm>
          <a:off x="10401300" y="9544050"/>
          <a:ext cx="966034"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000" b="1" baseline="0"/>
            <a:t>Inflows</a:t>
          </a:r>
          <a:endParaRPr lang="en-US" sz="2000" b="1"/>
        </a:p>
      </xdr:txBody>
    </xdr:sp>
    <xdr:clientData/>
  </xdr:oneCellAnchor>
  <xdr:oneCellAnchor>
    <xdr:from>
      <xdr:col>10</xdr:col>
      <xdr:colOff>95250</xdr:colOff>
      <xdr:row>48</xdr:row>
      <xdr:rowOff>85725</xdr:rowOff>
    </xdr:from>
    <xdr:ext cx="1160061" cy="405432"/>
    <xdr:sp macro="" textlink="">
      <xdr:nvSpPr>
        <xdr:cNvPr id="4" name="TextBox 3">
          <a:extLst>
            <a:ext uri="{FF2B5EF4-FFF2-40B4-BE49-F238E27FC236}">
              <a16:creationId xmlns:a16="http://schemas.microsoft.com/office/drawing/2014/main" id="{6DAC211D-6775-4938-84F4-0BF375F23DF1}"/>
            </a:ext>
          </a:extLst>
        </xdr:cNvPr>
        <xdr:cNvSpPr txBox="1"/>
      </xdr:nvSpPr>
      <xdr:spPr>
        <a:xfrm>
          <a:off x="13506450" y="9572625"/>
          <a:ext cx="116006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000" b="1" baseline="0"/>
            <a:t>Outflows</a:t>
          </a:r>
          <a:endParaRPr lang="en-US" sz="2000" b="1"/>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152400</xdr:colOff>
      <xdr:row>1</xdr:row>
      <xdr:rowOff>9525</xdr:rowOff>
    </xdr:from>
    <xdr:to>
      <xdr:col>13</xdr:col>
      <xdr:colOff>314325</xdr:colOff>
      <xdr:row>27</xdr:row>
      <xdr:rowOff>76200</xdr:rowOff>
    </xdr:to>
    <xdr:graphicFrame macro="">
      <xdr:nvGraphicFramePr>
        <xdr:cNvPr id="3" name="Chart 2">
          <a:extLst>
            <a:ext uri="{FF2B5EF4-FFF2-40B4-BE49-F238E27FC236}">
              <a16:creationId xmlns:a16="http://schemas.microsoft.com/office/drawing/2014/main" id="{2A9F711D-3B35-4BD3-9FEE-5127901C3E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12</xdr:col>
      <xdr:colOff>399086</xdr:colOff>
      <xdr:row>55</xdr:row>
      <xdr:rowOff>94667</xdr:rowOff>
    </xdr:to>
    <xdr:pic>
      <xdr:nvPicPr>
        <xdr:cNvPr id="2" name="Picture 1">
          <a:extLst>
            <a:ext uri="{FF2B5EF4-FFF2-40B4-BE49-F238E27FC236}">
              <a16:creationId xmlns:a16="http://schemas.microsoft.com/office/drawing/2014/main" id="{E5099C77-8FF7-4D1C-A43B-08369897F7AD}"/>
            </a:ext>
          </a:extLst>
        </xdr:cNvPr>
        <xdr:cNvPicPr>
          <a:picLocks noChangeAspect="1"/>
        </xdr:cNvPicPr>
      </xdr:nvPicPr>
      <xdr:blipFill>
        <a:blip xmlns:r="http://schemas.openxmlformats.org/officeDocument/2006/relationships" r:embed="rId1"/>
        <a:stretch>
          <a:fillRect/>
        </a:stretch>
      </xdr:blipFill>
      <xdr:spPr>
        <a:xfrm>
          <a:off x="0" y="6286500"/>
          <a:ext cx="7714286" cy="4666667"/>
        </a:xfrm>
        <a:prstGeom prst="rect">
          <a:avLst/>
        </a:prstGeom>
      </xdr:spPr>
    </xdr:pic>
    <xdr:clientData/>
  </xdr:twoCellAnchor>
  <xdr:twoCellAnchor editAs="oneCell">
    <xdr:from>
      <xdr:col>0</xdr:col>
      <xdr:colOff>0</xdr:colOff>
      <xdr:row>53</xdr:row>
      <xdr:rowOff>31750</xdr:rowOff>
    </xdr:from>
    <xdr:to>
      <xdr:col>12</xdr:col>
      <xdr:colOff>475276</xdr:colOff>
      <xdr:row>68</xdr:row>
      <xdr:rowOff>175770</xdr:rowOff>
    </xdr:to>
    <xdr:pic>
      <xdr:nvPicPr>
        <xdr:cNvPr id="3" name="Picture 2">
          <a:extLst>
            <a:ext uri="{FF2B5EF4-FFF2-40B4-BE49-F238E27FC236}">
              <a16:creationId xmlns:a16="http://schemas.microsoft.com/office/drawing/2014/main" id="{DA64A4A8-5F9B-4A27-A549-BB4E8B5B84B2}"/>
            </a:ext>
          </a:extLst>
        </xdr:cNvPr>
        <xdr:cNvPicPr>
          <a:picLocks noChangeAspect="1"/>
        </xdr:cNvPicPr>
      </xdr:nvPicPr>
      <xdr:blipFill rotWithShape="1">
        <a:blip xmlns:r="http://schemas.openxmlformats.org/officeDocument/2006/relationships" r:embed="rId2"/>
        <a:srcRect t="15051"/>
        <a:stretch/>
      </xdr:blipFill>
      <xdr:spPr>
        <a:xfrm>
          <a:off x="0" y="10509250"/>
          <a:ext cx="7790476" cy="3001520"/>
        </a:xfrm>
        <a:prstGeom prst="rect">
          <a:avLst/>
        </a:prstGeom>
      </xdr:spPr>
    </xdr:pic>
    <xdr:clientData/>
  </xdr:twoCellAnchor>
  <xdr:twoCellAnchor editAs="oneCell">
    <xdr:from>
      <xdr:col>0</xdr:col>
      <xdr:colOff>69849</xdr:colOff>
      <xdr:row>0</xdr:row>
      <xdr:rowOff>42863</xdr:rowOff>
    </xdr:from>
    <xdr:to>
      <xdr:col>12</xdr:col>
      <xdr:colOff>430837</xdr:colOff>
      <xdr:row>32</xdr:row>
      <xdr:rowOff>146863</xdr:rowOff>
    </xdr:to>
    <xdr:pic>
      <xdr:nvPicPr>
        <xdr:cNvPr id="4" name="Picture 3">
          <a:extLst>
            <a:ext uri="{FF2B5EF4-FFF2-40B4-BE49-F238E27FC236}">
              <a16:creationId xmlns:a16="http://schemas.microsoft.com/office/drawing/2014/main" id="{F8A5B82F-7B3C-43BF-9571-EB4E8F6A1B2F}"/>
            </a:ext>
          </a:extLst>
        </xdr:cNvPr>
        <xdr:cNvPicPr>
          <a:picLocks noChangeAspect="1"/>
        </xdr:cNvPicPr>
      </xdr:nvPicPr>
      <xdr:blipFill>
        <a:blip xmlns:r="http://schemas.openxmlformats.org/officeDocument/2006/relationships" r:embed="rId3"/>
        <a:stretch>
          <a:fillRect/>
        </a:stretch>
      </xdr:blipFill>
      <xdr:spPr>
        <a:xfrm>
          <a:off x="69849" y="503238"/>
          <a:ext cx="7695238" cy="62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578641</xdr:colOff>
      <xdr:row>41</xdr:row>
      <xdr:rowOff>16669</xdr:rowOff>
    </xdr:from>
    <xdr:to>
      <xdr:col>15</xdr:col>
      <xdr:colOff>100012</xdr:colOff>
      <xdr:row>64</xdr:row>
      <xdr:rowOff>102394</xdr:rowOff>
    </xdr:to>
    <xdr:graphicFrame macro="">
      <xdr:nvGraphicFramePr>
        <xdr:cNvPr id="2" name="Chart 1">
          <a:extLst>
            <a:ext uri="{FF2B5EF4-FFF2-40B4-BE49-F238E27FC236}">
              <a16:creationId xmlns:a16="http://schemas.microsoft.com/office/drawing/2014/main" id="{049A1AA2-E7DF-4DD7-8532-1B91DA64E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183355</xdr:colOff>
      <xdr:row>41</xdr:row>
      <xdr:rowOff>40481</xdr:rowOff>
    </xdr:from>
    <xdr:to>
      <xdr:col>22</xdr:col>
      <xdr:colOff>566738</xdr:colOff>
      <xdr:row>64</xdr:row>
      <xdr:rowOff>138112</xdr:rowOff>
    </xdr:to>
    <xdr:graphicFrame macro="">
      <xdr:nvGraphicFramePr>
        <xdr:cNvPr id="3" name="Chart 2">
          <a:extLst>
            <a:ext uri="{FF2B5EF4-FFF2-40B4-BE49-F238E27FC236}">
              <a16:creationId xmlns:a16="http://schemas.microsoft.com/office/drawing/2014/main" id="{8DDF46B9-F6AF-4199-AFD8-4544650D7C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41</xdr:row>
      <xdr:rowOff>0</xdr:rowOff>
    </xdr:from>
    <xdr:to>
      <xdr:col>8</xdr:col>
      <xdr:colOff>369096</xdr:colOff>
      <xdr:row>64</xdr:row>
      <xdr:rowOff>85725</xdr:rowOff>
    </xdr:to>
    <xdr:graphicFrame macro="">
      <xdr:nvGraphicFramePr>
        <xdr:cNvPr id="4" name="Chart 3">
          <a:extLst>
            <a:ext uri="{FF2B5EF4-FFF2-40B4-BE49-F238E27FC236}">
              <a16:creationId xmlns:a16="http://schemas.microsoft.com/office/drawing/2014/main" id="{5E3BBC3D-833E-47C1-BF18-9662325C9E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180975</xdr:colOff>
      <xdr:row>35</xdr:row>
      <xdr:rowOff>142875</xdr:rowOff>
    </xdr:from>
    <xdr:to>
      <xdr:col>7</xdr:col>
      <xdr:colOff>419100</xdr:colOff>
      <xdr:row>47</xdr:row>
      <xdr:rowOff>152400</xdr:rowOff>
    </xdr:to>
    <xdr:cxnSp macro="">
      <xdr:nvCxnSpPr>
        <xdr:cNvPr id="28" name="Straight Arrow Connector 27">
          <a:extLst>
            <a:ext uri="{FF2B5EF4-FFF2-40B4-BE49-F238E27FC236}">
              <a16:creationId xmlns:a16="http://schemas.microsoft.com/office/drawing/2014/main" id="{808BFBA9-62D4-BC04-6D9C-F1FA16E2EB30}"/>
            </a:ext>
          </a:extLst>
        </xdr:cNvPr>
        <xdr:cNvCxnSpPr/>
      </xdr:nvCxnSpPr>
      <xdr:spPr>
        <a:xfrm flipH="1">
          <a:off x="3971925" y="6810375"/>
          <a:ext cx="1104900" cy="2295525"/>
        </a:xfrm>
        <a:prstGeom prst="straightConnector1">
          <a:avLst/>
        </a:prstGeom>
        <a:ln w="63500" cap="flat" cmpd="sng" algn="ctr">
          <a:solidFill>
            <a:schemeClr val="accent3">
              <a:lumMod val="40000"/>
              <a:lumOff val="60000"/>
            </a:schemeClr>
          </a:solidFill>
          <a:prstDash val="solid"/>
          <a:round/>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123825</xdr:colOff>
      <xdr:row>7</xdr:row>
      <xdr:rowOff>114300</xdr:rowOff>
    </xdr:from>
    <xdr:to>
      <xdr:col>8</xdr:col>
      <xdr:colOff>133350</xdr:colOff>
      <xdr:row>14</xdr:row>
      <xdr:rowOff>180975</xdr:rowOff>
    </xdr:to>
    <xdr:cxnSp macro="">
      <xdr:nvCxnSpPr>
        <xdr:cNvPr id="22" name="Straight Arrow Connector 21">
          <a:extLst>
            <a:ext uri="{FF2B5EF4-FFF2-40B4-BE49-F238E27FC236}">
              <a16:creationId xmlns:a16="http://schemas.microsoft.com/office/drawing/2014/main" id="{03CF87BD-D4C9-4472-DD22-9BF4C90EA6BC}"/>
            </a:ext>
          </a:extLst>
        </xdr:cNvPr>
        <xdr:cNvCxnSpPr/>
      </xdr:nvCxnSpPr>
      <xdr:spPr>
        <a:xfrm flipH="1">
          <a:off x="5534025" y="1447800"/>
          <a:ext cx="9525" cy="1400175"/>
        </a:xfrm>
        <a:prstGeom prst="straightConnector1">
          <a:avLst/>
        </a:prstGeom>
        <a:ln w="63500" cap="flat" cmpd="sng" algn="ctr">
          <a:solidFill>
            <a:schemeClr val="accent3">
              <a:lumMod val="40000"/>
              <a:lumOff val="60000"/>
            </a:schemeClr>
          </a:solidFill>
          <a:prstDash val="solid"/>
          <a:round/>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2721</xdr:colOff>
      <xdr:row>22</xdr:row>
      <xdr:rowOff>42182</xdr:rowOff>
    </xdr:from>
    <xdr:to>
      <xdr:col>9</xdr:col>
      <xdr:colOff>434067</xdr:colOff>
      <xdr:row>23</xdr:row>
      <xdr:rowOff>137432</xdr:rowOff>
    </xdr:to>
    <xdr:sp macro="" textlink="">
      <xdr:nvSpPr>
        <xdr:cNvPr id="3" name="TextBox 2">
          <a:extLst>
            <a:ext uri="{FF2B5EF4-FFF2-40B4-BE49-F238E27FC236}">
              <a16:creationId xmlns:a16="http://schemas.microsoft.com/office/drawing/2014/main" id="{80FC2F9E-DF2A-0EB3-3048-53FEEFF6FE46}"/>
            </a:ext>
          </a:extLst>
        </xdr:cNvPr>
        <xdr:cNvSpPr txBox="1"/>
      </xdr:nvSpPr>
      <xdr:spPr>
        <a:xfrm>
          <a:off x="4901292" y="2328182"/>
          <a:ext cx="1043668" cy="28575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Digester</a:t>
          </a:r>
        </a:p>
      </xdr:txBody>
    </xdr:sp>
    <xdr:clientData/>
  </xdr:twoCellAnchor>
  <xdr:oneCellAnchor>
    <xdr:from>
      <xdr:col>8</xdr:col>
      <xdr:colOff>40822</xdr:colOff>
      <xdr:row>33</xdr:row>
      <xdr:rowOff>32657</xdr:rowOff>
    </xdr:from>
    <xdr:ext cx="1104405" cy="264560"/>
    <xdr:sp macro="" textlink="">
      <xdr:nvSpPr>
        <xdr:cNvPr id="4" name="TextBox 3">
          <a:extLst>
            <a:ext uri="{FF2B5EF4-FFF2-40B4-BE49-F238E27FC236}">
              <a16:creationId xmlns:a16="http://schemas.microsoft.com/office/drawing/2014/main" id="{1F0D5ABE-13EC-B91B-FED5-A3C10D406583}"/>
            </a:ext>
          </a:extLst>
        </xdr:cNvPr>
        <xdr:cNvSpPr txBox="1"/>
      </xdr:nvSpPr>
      <xdr:spPr>
        <a:xfrm>
          <a:off x="4939393" y="3842657"/>
          <a:ext cx="1104405" cy="264560"/>
        </a:xfrm>
        <a:prstGeom prst="rect">
          <a:avLst/>
        </a:prstGeom>
        <a:solidFill>
          <a:schemeClr val="accent3">
            <a:lumMod val="40000"/>
            <a:lumOff val="60000"/>
          </a:schemeClr>
        </a:solidFill>
        <a:ln>
          <a:solidFill>
            <a:schemeClr val="accent1">
              <a:shade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Solids</a:t>
          </a:r>
          <a:r>
            <a:rPr lang="en-US" sz="1100" baseline="0"/>
            <a:t> separator</a:t>
          </a:r>
          <a:endParaRPr lang="en-US" sz="1100"/>
        </a:p>
      </xdr:txBody>
    </xdr:sp>
    <xdr:clientData/>
  </xdr:oneCellAnchor>
  <xdr:oneCellAnchor>
    <xdr:from>
      <xdr:col>4</xdr:col>
      <xdr:colOff>504143</xdr:colOff>
      <xdr:row>5</xdr:row>
      <xdr:rowOff>63954</xdr:rowOff>
    </xdr:from>
    <xdr:ext cx="640496" cy="264560"/>
    <xdr:sp macro="" textlink="">
      <xdr:nvSpPr>
        <xdr:cNvPr id="5" name="TextBox 4">
          <a:extLst>
            <a:ext uri="{FF2B5EF4-FFF2-40B4-BE49-F238E27FC236}">
              <a16:creationId xmlns:a16="http://schemas.microsoft.com/office/drawing/2014/main" id="{AAD97787-4052-1EA8-BE90-E84B1FE40A97}"/>
            </a:ext>
          </a:extLst>
        </xdr:cNvPr>
        <xdr:cNvSpPr txBox="1"/>
      </xdr:nvSpPr>
      <xdr:spPr>
        <a:xfrm>
          <a:off x="3056843" y="968829"/>
          <a:ext cx="640496"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u="sng"/>
            <a:t>Manure</a:t>
          </a:r>
        </a:p>
      </xdr:txBody>
    </xdr:sp>
    <xdr:clientData/>
  </xdr:oneCellAnchor>
  <xdr:oneCellAnchor>
    <xdr:from>
      <xdr:col>8</xdr:col>
      <xdr:colOff>171222</xdr:colOff>
      <xdr:row>5</xdr:row>
      <xdr:rowOff>79603</xdr:rowOff>
    </xdr:from>
    <xdr:ext cx="845296" cy="264560"/>
    <xdr:sp macro="" textlink="">
      <xdr:nvSpPr>
        <xdr:cNvPr id="6" name="TextBox 5">
          <a:extLst>
            <a:ext uri="{FF2B5EF4-FFF2-40B4-BE49-F238E27FC236}">
              <a16:creationId xmlns:a16="http://schemas.microsoft.com/office/drawing/2014/main" id="{6E9704CF-E817-1981-4B6A-10A48238E576}"/>
            </a:ext>
          </a:extLst>
        </xdr:cNvPr>
        <xdr:cNvSpPr txBox="1"/>
      </xdr:nvSpPr>
      <xdr:spPr>
        <a:xfrm>
          <a:off x="5195660" y="1032103"/>
          <a:ext cx="845296"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u="sng"/>
            <a:t>Food waste</a:t>
          </a:r>
        </a:p>
      </xdr:txBody>
    </xdr:sp>
    <xdr:clientData/>
  </xdr:oneCellAnchor>
  <xdr:oneCellAnchor>
    <xdr:from>
      <xdr:col>11</xdr:col>
      <xdr:colOff>451302</xdr:colOff>
      <xdr:row>2</xdr:row>
      <xdr:rowOff>148771</xdr:rowOff>
    </xdr:from>
    <xdr:ext cx="857222" cy="264560"/>
    <xdr:sp macro="" textlink="">
      <xdr:nvSpPr>
        <xdr:cNvPr id="7" name="TextBox 6">
          <a:extLst>
            <a:ext uri="{FF2B5EF4-FFF2-40B4-BE49-F238E27FC236}">
              <a16:creationId xmlns:a16="http://schemas.microsoft.com/office/drawing/2014/main" id="{7A6DC667-2A40-3317-7C11-2A84E25693ED}"/>
            </a:ext>
          </a:extLst>
        </xdr:cNvPr>
        <xdr:cNvSpPr txBox="1"/>
      </xdr:nvSpPr>
      <xdr:spPr>
        <a:xfrm>
          <a:off x="7871277" y="529771"/>
          <a:ext cx="857222"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u="sng"/>
            <a:t>Switchgrass</a:t>
          </a:r>
        </a:p>
      </xdr:txBody>
    </xdr:sp>
    <xdr:clientData/>
  </xdr:oneCellAnchor>
  <xdr:oneCellAnchor>
    <xdr:from>
      <xdr:col>8</xdr:col>
      <xdr:colOff>218622</xdr:colOff>
      <xdr:row>24</xdr:row>
      <xdr:rowOff>107951</xdr:rowOff>
    </xdr:from>
    <xdr:ext cx="727956" cy="264560"/>
    <xdr:sp macro="" textlink="">
      <xdr:nvSpPr>
        <xdr:cNvPr id="8" name="TextBox 7">
          <a:extLst>
            <a:ext uri="{FF2B5EF4-FFF2-40B4-BE49-F238E27FC236}">
              <a16:creationId xmlns:a16="http://schemas.microsoft.com/office/drawing/2014/main" id="{2E0FE4BA-FB76-F6BD-7F0B-81B8132F2ADF}"/>
            </a:ext>
          </a:extLst>
        </xdr:cNvPr>
        <xdr:cNvSpPr txBox="1"/>
      </xdr:nvSpPr>
      <xdr:spPr>
        <a:xfrm>
          <a:off x="5243060" y="4870451"/>
          <a:ext cx="7279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u="sng"/>
            <a:t>Digestate</a:t>
          </a:r>
        </a:p>
      </xdr:txBody>
    </xdr:sp>
    <xdr:clientData/>
  </xdr:oneCellAnchor>
  <xdr:oneCellAnchor>
    <xdr:from>
      <xdr:col>4</xdr:col>
      <xdr:colOff>663576</xdr:colOff>
      <xdr:row>48</xdr:row>
      <xdr:rowOff>20638</xdr:rowOff>
    </xdr:from>
    <xdr:ext cx="690189" cy="264560"/>
    <xdr:sp macro="" textlink="">
      <xdr:nvSpPr>
        <xdr:cNvPr id="13" name="TextBox 12">
          <a:extLst>
            <a:ext uri="{FF2B5EF4-FFF2-40B4-BE49-F238E27FC236}">
              <a16:creationId xmlns:a16="http://schemas.microsoft.com/office/drawing/2014/main" id="{D7BE4460-5203-B497-8121-0E2A15C1FD0C}"/>
            </a:ext>
          </a:extLst>
        </xdr:cNvPr>
        <xdr:cNvSpPr txBox="1"/>
      </xdr:nvSpPr>
      <xdr:spPr>
        <a:xfrm>
          <a:off x="3101976" y="10117138"/>
          <a:ext cx="690189" cy="264560"/>
        </a:xfrm>
        <a:prstGeom prst="rect">
          <a:avLst/>
        </a:prstGeom>
        <a:solidFill>
          <a:schemeClr val="accent3">
            <a:lumMod val="40000"/>
            <a:lumOff val="60000"/>
          </a:schemeClr>
        </a:solidFill>
        <a:ln>
          <a:solidFill>
            <a:schemeClr val="lt1">
              <a:shade val="50000"/>
              <a:lumMod val="10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cropland</a:t>
          </a:r>
        </a:p>
      </xdr:txBody>
    </xdr:sp>
    <xdr:clientData/>
  </xdr:oneCellAnchor>
  <xdr:oneCellAnchor>
    <xdr:from>
      <xdr:col>2</xdr:col>
      <xdr:colOff>444500</xdr:colOff>
      <xdr:row>33</xdr:row>
      <xdr:rowOff>17462</xdr:rowOff>
    </xdr:from>
    <xdr:ext cx="948914" cy="264560"/>
    <xdr:sp macro="" textlink="">
      <xdr:nvSpPr>
        <xdr:cNvPr id="14" name="TextBox 13">
          <a:extLst>
            <a:ext uri="{FF2B5EF4-FFF2-40B4-BE49-F238E27FC236}">
              <a16:creationId xmlns:a16="http://schemas.microsoft.com/office/drawing/2014/main" id="{A780DF2A-F250-59A4-61BC-5B1BBB452652}"/>
            </a:ext>
          </a:extLst>
        </xdr:cNvPr>
        <xdr:cNvSpPr txBox="1"/>
      </xdr:nvSpPr>
      <xdr:spPr>
        <a:xfrm>
          <a:off x="1663700" y="7065962"/>
          <a:ext cx="948914" cy="264560"/>
        </a:xfrm>
        <a:prstGeom prst="rect">
          <a:avLst/>
        </a:prstGeom>
        <a:solidFill>
          <a:schemeClr val="accent3">
            <a:lumMod val="40000"/>
            <a:lumOff val="60000"/>
          </a:schemeClr>
        </a:solidFill>
        <a:ln>
          <a:solidFill>
            <a:schemeClr val="lt1">
              <a:shade val="50000"/>
              <a:lumMod val="10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freestall barn</a:t>
          </a:r>
        </a:p>
      </xdr:txBody>
    </xdr:sp>
    <xdr:clientData/>
  </xdr:oneCellAnchor>
  <xdr:oneCellAnchor>
    <xdr:from>
      <xdr:col>4</xdr:col>
      <xdr:colOff>390525</xdr:colOff>
      <xdr:row>3</xdr:row>
      <xdr:rowOff>106363</xdr:rowOff>
    </xdr:from>
    <xdr:ext cx="1695529" cy="264560"/>
    <xdr:sp macro="" textlink="">
      <xdr:nvSpPr>
        <xdr:cNvPr id="16" name="TextBox 15">
          <a:extLst>
            <a:ext uri="{FF2B5EF4-FFF2-40B4-BE49-F238E27FC236}">
              <a16:creationId xmlns:a16="http://schemas.microsoft.com/office/drawing/2014/main" id="{58211F2F-AFD1-7CF9-3DAF-5C4E6943FBE9}"/>
            </a:ext>
          </a:extLst>
        </xdr:cNvPr>
        <xdr:cNvSpPr txBox="1"/>
      </xdr:nvSpPr>
      <xdr:spPr>
        <a:xfrm>
          <a:off x="2828925" y="677863"/>
          <a:ext cx="1695529" cy="264560"/>
        </a:xfrm>
        <a:prstGeom prst="rect">
          <a:avLst/>
        </a:prstGeom>
        <a:solidFill>
          <a:schemeClr val="accent3">
            <a:lumMod val="40000"/>
            <a:lumOff val="60000"/>
          </a:schemeClr>
        </a:solidFill>
        <a:ln>
          <a:solidFill>
            <a:schemeClr val="lt1">
              <a:shade val="50000"/>
              <a:lumMod val="10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dairy herd &amp; freestall barn</a:t>
          </a:r>
        </a:p>
      </xdr:txBody>
    </xdr:sp>
    <xdr:clientData/>
  </xdr:oneCellAnchor>
  <xdr:oneCellAnchor>
    <xdr:from>
      <xdr:col>8</xdr:col>
      <xdr:colOff>39688</xdr:colOff>
      <xdr:row>3</xdr:row>
      <xdr:rowOff>127001</xdr:rowOff>
    </xdr:from>
    <xdr:ext cx="1130438" cy="264560"/>
    <xdr:sp macro="" textlink="">
      <xdr:nvSpPr>
        <xdr:cNvPr id="17" name="TextBox 16">
          <a:extLst>
            <a:ext uri="{FF2B5EF4-FFF2-40B4-BE49-F238E27FC236}">
              <a16:creationId xmlns:a16="http://schemas.microsoft.com/office/drawing/2014/main" id="{5241BC0B-3171-0886-AD8D-B9B5225CD8DF}"/>
            </a:ext>
          </a:extLst>
        </xdr:cNvPr>
        <xdr:cNvSpPr txBox="1"/>
      </xdr:nvSpPr>
      <xdr:spPr>
        <a:xfrm>
          <a:off x="4929188" y="698501"/>
          <a:ext cx="1130438" cy="264560"/>
        </a:xfrm>
        <a:prstGeom prst="rect">
          <a:avLst/>
        </a:prstGeom>
        <a:solidFill>
          <a:schemeClr val="accent3">
            <a:lumMod val="40000"/>
            <a:lumOff val="60000"/>
          </a:schemeClr>
        </a:solidFill>
        <a:ln>
          <a:solidFill>
            <a:schemeClr val="lt1">
              <a:shade val="50000"/>
              <a:lumMod val="10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off-farm sources</a:t>
          </a:r>
        </a:p>
      </xdr:txBody>
    </xdr:sp>
    <xdr:clientData/>
  </xdr:oneCellAnchor>
  <xdr:oneCellAnchor>
    <xdr:from>
      <xdr:col>13</xdr:col>
      <xdr:colOff>344488</xdr:colOff>
      <xdr:row>2</xdr:row>
      <xdr:rowOff>112713</xdr:rowOff>
    </xdr:from>
    <xdr:ext cx="690189" cy="264560"/>
    <xdr:sp macro="" textlink="">
      <xdr:nvSpPr>
        <xdr:cNvPr id="18" name="TextBox 17">
          <a:extLst>
            <a:ext uri="{FF2B5EF4-FFF2-40B4-BE49-F238E27FC236}">
              <a16:creationId xmlns:a16="http://schemas.microsoft.com/office/drawing/2014/main" id="{226A98B7-01CA-9137-26A2-6B0509C6A3F2}"/>
            </a:ext>
          </a:extLst>
        </xdr:cNvPr>
        <xdr:cNvSpPr txBox="1"/>
      </xdr:nvSpPr>
      <xdr:spPr>
        <a:xfrm>
          <a:off x="8983663" y="493713"/>
          <a:ext cx="690189" cy="264560"/>
        </a:xfrm>
        <a:prstGeom prst="rect">
          <a:avLst/>
        </a:prstGeom>
        <a:solidFill>
          <a:schemeClr val="accent3">
            <a:lumMod val="40000"/>
            <a:lumOff val="60000"/>
          </a:schemeClr>
        </a:solidFill>
        <a:ln>
          <a:solidFill>
            <a:schemeClr val="lt1">
              <a:shade val="50000"/>
              <a:lumMod val="10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cropland</a:t>
          </a:r>
        </a:p>
      </xdr:txBody>
    </xdr:sp>
    <xdr:clientData/>
  </xdr:oneCellAnchor>
  <xdr:twoCellAnchor>
    <xdr:from>
      <xdr:col>6</xdr:col>
      <xdr:colOff>847725</xdr:colOff>
      <xdr:row>5</xdr:row>
      <xdr:rowOff>152400</xdr:rowOff>
    </xdr:from>
    <xdr:to>
      <xdr:col>7</xdr:col>
      <xdr:colOff>381000</xdr:colOff>
      <xdr:row>20</xdr:row>
      <xdr:rowOff>174625</xdr:rowOff>
    </xdr:to>
    <xdr:cxnSp macro="">
      <xdr:nvCxnSpPr>
        <xdr:cNvPr id="20" name="Straight Arrow Connector 19">
          <a:extLst>
            <a:ext uri="{FF2B5EF4-FFF2-40B4-BE49-F238E27FC236}">
              <a16:creationId xmlns:a16="http://schemas.microsoft.com/office/drawing/2014/main" id="{B61991D5-2A2C-90FB-37F7-197660FF9FBF}"/>
            </a:ext>
          </a:extLst>
        </xdr:cNvPr>
        <xdr:cNvCxnSpPr/>
      </xdr:nvCxnSpPr>
      <xdr:spPr>
        <a:xfrm>
          <a:off x="4638675" y="1104900"/>
          <a:ext cx="400050" cy="2879725"/>
        </a:xfrm>
        <a:prstGeom prst="straightConnector1">
          <a:avLst/>
        </a:prstGeom>
        <a:ln w="63500" cap="flat" cmpd="sng" algn="ctr">
          <a:solidFill>
            <a:schemeClr val="accent3">
              <a:lumMod val="40000"/>
              <a:lumOff val="60000"/>
            </a:schemeClr>
          </a:solidFill>
          <a:prstDash val="solid"/>
          <a:round/>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333375</xdr:colOff>
      <xdr:row>1</xdr:row>
      <xdr:rowOff>74612</xdr:rowOff>
    </xdr:from>
    <xdr:to>
      <xdr:col>7</xdr:col>
      <xdr:colOff>579438</xdr:colOff>
      <xdr:row>3</xdr:row>
      <xdr:rowOff>28575</xdr:rowOff>
    </xdr:to>
    <xdr:cxnSp macro="">
      <xdr:nvCxnSpPr>
        <xdr:cNvPr id="24" name="Straight Arrow Connector 23">
          <a:extLst>
            <a:ext uri="{FF2B5EF4-FFF2-40B4-BE49-F238E27FC236}">
              <a16:creationId xmlns:a16="http://schemas.microsoft.com/office/drawing/2014/main" id="{B2D75E5E-216E-72EA-46A7-3F1FB25A70C0}"/>
            </a:ext>
          </a:extLst>
        </xdr:cNvPr>
        <xdr:cNvCxnSpPr/>
      </xdr:nvCxnSpPr>
      <xdr:spPr>
        <a:xfrm flipH="1">
          <a:off x="4124325" y="265112"/>
          <a:ext cx="1112838" cy="334963"/>
        </a:xfrm>
        <a:prstGeom prst="straightConnector1">
          <a:avLst/>
        </a:prstGeom>
        <a:ln w="63500" cap="flat" cmpd="sng" algn="ctr">
          <a:solidFill>
            <a:schemeClr val="accent3">
              <a:lumMod val="40000"/>
              <a:lumOff val="60000"/>
            </a:schemeClr>
          </a:solidFill>
          <a:prstDash val="solid"/>
          <a:round/>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76200</xdr:colOff>
      <xdr:row>24</xdr:row>
      <xdr:rowOff>119063</xdr:rowOff>
    </xdr:from>
    <xdr:to>
      <xdr:col>8</xdr:col>
      <xdr:colOff>84137</xdr:colOff>
      <xdr:row>32</xdr:row>
      <xdr:rowOff>0</xdr:rowOff>
    </xdr:to>
    <xdr:cxnSp macro="">
      <xdr:nvCxnSpPr>
        <xdr:cNvPr id="26" name="Straight Arrow Connector 25">
          <a:extLst>
            <a:ext uri="{FF2B5EF4-FFF2-40B4-BE49-F238E27FC236}">
              <a16:creationId xmlns:a16="http://schemas.microsoft.com/office/drawing/2014/main" id="{D3E8FBCA-0CD3-49C1-D2E2-4807F73ADFBF}"/>
            </a:ext>
          </a:extLst>
        </xdr:cNvPr>
        <xdr:cNvCxnSpPr/>
      </xdr:nvCxnSpPr>
      <xdr:spPr>
        <a:xfrm flipH="1">
          <a:off x="5486400" y="4881563"/>
          <a:ext cx="7937" cy="1587500"/>
        </a:xfrm>
        <a:prstGeom prst="straightConnector1">
          <a:avLst/>
        </a:prstGeom>
        <a:ln w="63500" cap="flat" cmpd="sng" algn="ctr">
          <a:solidFill>
            <a:schemeClr val="accent3">
              <a:lumMod val="40000"/>
              <a:lumOff val="60000"/>
            </a:schemeClr>
          </a:solidFill>
          <a:prstDash val="solid"/>
          <a:round/>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400050</xdr:colOff>
      <xdr:row>33</xdr:row>
      <xdr:rowOff>161925</xdr:rowOff>
    </xdr:from>
    <xdr:to>
      <xdr:col>7</xdr:col>
      <xdr:colOff>695325</xdr:colOff>
      <xdr:row>34</xdr:row>
      <xdr:rowOff>28575</xdr:rowOff>
    </xdr:to>
    <xdr:cxnSp macro="">
      <xdr:nvCxnSpPr>
        <xdr:cNvPr id="30" name="Straight Arrow Connector 29">
          <a:extLst>
            <a:ext uri="{FF2B5EF4-FFF2-40B4-BE49-F238E27FC236}">
              <a16:creationId xmlns:a16="http://schemas.microsoft.com/office/drawing/2014/main" id="{15F47D52-0F0C-D620-2C5A-A5098ED1AECB}"/>
            </a:ext>
          </a:extLst>
        </xdr:cNvPr>
        <xdr:cNvCxnSpPr/>
      </xdr:nvCxnSpPr>
      <xdr:spPr>
        <a:xfrm flipH="1" flipV="1">
          <a:off x="2838450" y="7210425"/>
          <a:ext cx="2514600" cy="57150"/>
        </a:xfrm>
        <a:prstGeom prst="straightConnector1">
          <a:avLst/>
        </a:prstGeom>
        <a:ln w="63500" cap="flat" cmpd="sng" algn="ctr">
          <a:solidFill>
            <a:schemeClr val="accent3">
              <a:lumMod val="40000"/>
              <a:lumOff val="60000"/>
            </a:schemeClr>
          </a:solidFill>
          <a:prstDash val="solid"/>
          <a:round/>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514350</xdr:colOff>
      <xdr:row>36</xdr:row>
      <xdr:rowOff>0</xdr:rowOff>
    </xdr:from>
    <xdr:to>
      <xdr:col>4</xdr:col>
      <xdr:colOff>571500</xdr:colOff>
      <xdr:row>47</xdr:row>
      <xdr:rowOff>180975</xdr:rowOff>
    </xdr:to>
    <xdr:cxnSp macro="">
      <xdr:nvCxnSpPr>
        <xdr:cNvPr id="32" name="Straight Arrow Connector 31">
          <a:extLst>
            <a:ext uri="{FF2B5EF4-FFF2-40B4-BE49-F238E27FC236}">
              <a16:creationId xmlns:a16="http://schemas.microsoft.com/office/drawing/2014/main" id="{78B81F17-8382-62C1-3A5C-2EF23154E442}"/>
            </a:ext>
          </a:extLst>
        </xdr:cNvPr>
        <xdr:cNvCxnSpPr/>
      </xdr:nvCxnSpPr>
      <xdr:spPr>
        <a:xfrm>
          <a:off x="2343150" y="7620000"/>
          <a:ext cx="666750" cy="2466975"/>
        </a:xfrm>
        <a:prstGeom prst="straightConnector1">
          <a:avLst/>
        </a:prstGeom>
        <a:ln w="63500" cap="flat" cmpd="sng" algn="ctr">
          <a:solidFill>
            <a:schemeClr val="accent3">
              <a:lumMod val="40000"/>
              <a:lumOff val="60000"/>
            </a:schemeClr>
          </a:solidFill>
          <a:prstDash val="solid"/>
          <a:round/>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319088</xdr:colOff>
      <xdr:row>37</xdr:row>
      <xdr:rowOff>49213</xdr:rowOff>
    </xdr:from>
    <xdr:ext cx="1533112" cy="264560"/>
    <xdr:sp macro="" textlink="">
      <xdr:nvSpPr>
        <xdr:cNvPr id="39" name="TextBox 38">
          <a:extLst>
            <a:ext uri="{FF2B5EF4-FFF2-40B4-BE49-F238E27FC236}">
              <a16:creationId xmlns:a16="http://schemas.microsoft.com/office/drawing/2014/main" id="{38166858-3DC6-4B1C-8BAC-AD673B6EEC61}"/>
            </a:ext>
          </a:extLst>
        </xdr:cNvPr>
        <xdr:cNvSpPr txBox="1"/>
      </xdr:nvSpPr>
      <xdr:spPr>
        <a:xfrm>
          <a:off x="928688" y="7097713"/>
          <a:ext cx="153311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bedding (with manure)</a:t>
          </a:r>
        </a:p>
      </xdr:txBody>
    </xdr:sp>
    <xdr:clientData/>
  </xdr:oneCellAnchor>
  <xdr:twoCellAnchor>
    <xdr:from>
      <xdr:col>2</xdr:col>
      <xdr:colOff>285750</xdr:colOff>
      <xdr:row>12</xdr:row>
      <xdr:rowOff>171450</xdr:rowOff>
    </xdr:from>
    <xdr:to>
      <xdr:col>2</xdr:col>
      <xdr:colOff>600075</xdr:colOff>
      <xdr:row>32</xdr:row>
      <xdr:rowOff>152400</xdr:rowOff>
    </xdr:to>
    <xdr:cxnSp macro="">
      <xdr:nvCxnSpPr>
        <xdr:cNvPr id="36" name="Straight Arrow Connector 35">
          <a:extLst>
            <a:ext uri="{FF2B5EF4-FFF2-40B4-BE49-F238E27FC236}">
              <a16:creationId xmlns:a16="http://schemas.microsoft.com/office/drawing/2014/main" id="{B0ECF3B3-527E-F948-4CA2-A0C25136F498}"/>
            </a:ext>
          </a:extLst>
        </xdr:cNvPr>
        <xdr:cNvCxnSpPr/>
      </xdr:nvCxnSpPr>
      <xdr:spPr>
        <a:xfrm flipH="1" flipV="1">
          <a:off x="1504950" y="2266950"/>
          <a:ext cx="314325" cy="4743450"/>
        </a:xfrm>
        <a:prstGeom prst="straightConnector1">
          <a:avLst/>
        </a:prstGeom>
        <a:ln w="63500">
          <a:solidFill>
            <a:schemeClr val="accent3">
              <a:lumMod val="40000"/>
              <a:lumOff val="6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285750</xdr:colOff>
      <xdr:row>4</xdr:row>
      <xdr:rowOff>152400</xdr:rowOff>
    </xdr:from>
    <xdr:to>
      <xdr:col>4</xdr:col>
      <xdr:colOff>161925</xdr:colOff>
      <xdr:row>13</xdr:row>
      <xdr:rowOff>0</xdr:rowOff>
    </xdr:to>
    <xdr:cxnSp macro="">
      <xdr:nvCxnSpPr>
        <xdr:cNvPr id="38" name="Straight Arrow Connector 37">
          <a:extLst>
            <a:ext uri="{FF2B5EF4-FFF2-40B4-BE49-F238E27FC236}">
              <a16:creationId xmlns:a16="http://schemas.microsoft.com/office/drawing/2014/main" id="{6B2AABD3-AF01-97FB-5ADD-BACFD1C84161}"/>
            </a:ext>
          </a:extLst>
        </xdr:cNvPr>
        <xdr:cNvCxnSpPr/>
      </xdr:nvCxnSpPr>
      <xdr:spPr>
        <a:xfrm flipV="1">
          <a:off x="1504950" y="914400"/>
          <a:ext cx="1095375" cy="1400175"/>
        </a:xfrm>
        <a:prstGeom prst="straightConnector1">
          <a:avLst/>
        </a:prstGeom>
        <a:ln w="63500" cap="flat" cmpd="sng" algn="ctr">
          <a:solidFill>
            <a:schemeClr val="accent3">
              <a:lumMod val="40000"/>
              <a:lumOff val="60000"/>
            </a:schemeClr>
          </a:solidFill>
          <a:prstDash val="solid"/>
          <a:round/>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647700</xdr:colOff>
      <xdr:row>1</xdr:row>
      <xdr:rowOff>85725</xdr:rowOff>
    </xdr:from>
    <xdr:to>
      <xdr:col>13</xdr:col>
      <xdr:colOff>114300</xdr:colOff>
      <xdr:row>2</xdr:row>
      <xdr:rowOff>66675</xdr:rowOff>
    </xdr:to>
    <xdr:cxnSp macro="">
      <xdr:nvCxnSpPr>
        <xdr:cNvPr id="41" name="Straight Arrow Connector 40">
          <a:extLst>
            <a:ext uri="{FF2B5EF4-FFF2-40B4-BE49-F238E27FC236}">
              <a16:creationId xmlns:a16="http://schemas.microsoft.com/office/drawing/2014/main" id="{1023EA0E-C356-820D-4C05-3B73A0E360FB}"/>
            </a:ext>
          </a:extLst>
        </xdr:cNvPr>
        <xdr:cNvCxnSpPr/>
      </xdr:nvCxnSpPr>
      <xdr:spPr>
        <a:xfrm flipH="1" flipV="1">
          <a:off x="5305425" y="276225"/>
          <a:ext cx="3448050" cy="171450"/>
        </a:xfrm>
        <a:prstGeom prst="straightConnector1">
          <a:avLst/>
        </a:prstGeom>
        <a:ln w="63500" cap="flat" cmpd="sng" algn="ctr">
          <a:solidFill>
            <a:schemeClr val="accent3">
              <a:lumMod val="40000"/>
              <a:lumOff val="60000"/>
            </a:schemeClr>
          </a:solidFill>
          <a:prstDash val="solid"/>
          <a:round/>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104775</xdr:colOff>
      <xdr:row>50</xdr:row>
      <xdr:rowOff>38100</xdr:rowOff>
    </xdr:from>
    <xdr:to>
      <xdr:col>15</xdr:col>
      <xdr:colOff>28575</xdr:colOff>
      <xdr:row>50</xdr:row>
      <xdr:rowOff>95250</xdr:rowOff>
    </xdr:to>
    <xdr:cxnSp macro="">
      <xdr:nvCxnSpPr>
        <xdr:cNvPr id="43" name="Straight Arrow Connector 42">
          <a:extLst>
            <a:ext uri="{FF2B5EF4-FFF2-40B4-BE49-F238E27FC236}">
              <a16:creationId xmlns:a16="http://schemas.microsoft.com/office/drawing/2014/main" id="{79F620B6-B0F9-38AC-30A8-989F9FDEB9C2}"/>
            </a:ext>
          </a:extLst>
        </xdr:cNvPr>
        <xdr:cNvCxnSpPr/>
      </xdr:nvCxnSpPr>
      <xdr:spPr>
        <a:xfrm flipV="1">
          <a:off x="3895725" y="9563100"/>
          <a:ext cx="6115050" cy="57150"/>
        </a:xfrm>
        <a:prstGeom prst="straightConnector1">
          <a:avLst/>
        </a:prstGeom>
        <a:ln w="63500" cap="flat" cmpd="sng" algn="ctr">
          <a:solidFill>
            <a:schemeClr val="accent3">
              <a:lumMod val="40000"/>
              <a:lumOff val="60000"/>
            </a:schemeClr>
          </a:solidFill>
          <a:prstDash val="solid"/>
          <a:round/>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523875</xdr:colOff>
      <xdr:row>4</xdr:row>
      <xdr:rowOff>114300</xdr:rowOff>
    </xdr:from>
    <xdr:to>
      <xdr:col>15</xdr:col>
      <xdr:colOff>47625</xdr:colOff>
      <xdr:row>49</xdr:row>
      <xdr:rowOff>85725</xdr:rowOff>
    </xdr:to>
    <xdr:cxnSp macro="">
      <xdr:nvCxnSpPr>
        <xdr:cNvPr id="45" name="Straight Arrow Connector 44">
          <a:extLst>
            <a:ext uri="{FF2B5EF4-FFF2-40B4-BE49-F238E27FC236}">
              <a16:creationId xmlns:a16="http://schemas.microsoft.com/office/drawing/2014/main" id="{692F74D6-8D62-2107-7B09-6EA58438974F}"/>
            </a:ext>
          </a:extLst>
        </xdr:cNvPr>
        <xdr:cNvCxnSpPr/>
      </xdr:nvCxnSpPr>
      <xdr:spPr>
        <a:xfrm flipH="1" flipV="1">
          <a:off x="9896475" y="876300"/>
          <a:ext cx="133350" cy="9496425"/>
        </a:xfrm>
        <a:prstGeom prst="straightConnector1">
          <a:avLst/>
        </a:prstGeom>
        <a:ln w="63500" cap="flat" cmpd="sng" algn="ctr">
          <a:solidFill>
            <a:schemeClr val="accent3">
              <a:lumMod val="40000"/>
              <a:lumOff val="60000"/>
            </a:schemeClr>
          </a:solidFill>
          <a:prstDash val="solid"/>
          <a:round/>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115888</xdr:colOff>
      <xdr:row>1</xdr:row>
      <xdr:rowOff>160338</xdr:rowOff>
    </xdr:from>
    <xdr:ext cx="741870" cy="264560"/>
    <xdr:sp macro="" textlink="">
      <xdr:nvSpPr>
        <xdr:cNvPr id="48" name="TextBox 47">
          <a:extLst>
            <a:ext uri="{FF2B5EF4-FFF2-40B4-BE49-F238E27FC236}">
              <a16:creationId xmlns:a16="http://schemas.microsoft.com/office/drawing/2014/main" id="{9D4B6414-9241-4583-B6EA-5B46BDE8154E}"/>
            </a:ext>
          </a:extLst>
        </xdr:cNvPr>
        <xdr:cNvSpPr txBox="1"/>
      </xdr:nvSpPr>
      <xdr:spPr>
        <a:xfrm>
          <a:off x="12107863" y="350838"/>
          <a:ext cx="741870" cy="264560"/>
        </a:xfrm>
        <a:prstGeom prst="rect">
          <a:avLst/>
        </a:prstGeom>
        <a:solidFill>
          <a:schemeClr val="accent3">
            <a:lumMod val="40000"/>
            <a:lumOff val="60000"/>
          </a:schemeClr>
        </a:solidFill>
        <a:ln>
          <a:solidFill>
            <a:schemeClr val="lt1">
              <a:shade val="50000"/>
              <a:lumMod val="10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resources</a:t>
          </a:r>
        </a:p>
      </xdr:txBody>
    </xdr:sp>
    <xdr:clientData/>
  </xdr:oneCellAnchor>
  <xdr:oneCellAnchor>
    <xdr:from>
      <xdr:col>18</xdr:col>
      <xdr:colOff>108402</xdr:colOff>
      <xdr:row>3</xdr:row>
      <xdr:rowOff>158296</xdr:rowOff>
    </xdr:from>
    <xdr:ext cx="490455" cy="264560"/>
    <xdr:sp macro="" textlink="">
      <xdr:nvSpPr>
        <xdr:cNvPr id="49" name="TextBox 48">
          <a:extLst>
            <a:ext uri="{FF2B5EF4-FFF2-40B4-BE49-F238E27FC236}">
              <a16:creationId xmlns:a16="http://schemas.microsoft.com/office/drawing/2014/main" id="{B411596D-B1B7-4D6B-8DCC-6AF3E2E67FA9}"/>
            </a:ext>
          </a:extLst>
        </xdr:cNvPr>
        <xdr:cNvSpPr txBox="1"/>
      </xdr:nvSpPr>
      <xdr:spPr>
        <a:xfrm>
          <a:off x="12100377" y="729796"/>
          <a:ext cx="490455"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i="0" u="sng"/>
            <a:t>flows</a:t>
          </a:r>
        </a:p>
      </xdr:txBody>
    </xdr:sp>
    <xdr:clientData/>
  </xdr:oneCellAnchor>
  <xdr:twoCellAnchor>
    <xdr:from>
      <xdr:col>10</xdr:col>
      <xdr:colOff>161925</xdr:colOff>
      <xdr:row>4</xdr:row>
      <xdr:rowOff>171450</xdr:rowOff>
    </xdr:from>
    <xdr:to>
      <xdr:col>12</xdr:col>
      <xdr:colOff>352425</xdr:colOff>
      <xdr:row>16</xdr:row>
      <xdr:rowOff>85725</xdr:rowOff>
    </xdr:to>
    <xdr:cxnSp macro="">
      <xdr:nvCxnSpPr>
        <xdr:cNvPr id="2" name="Straight Arrow Connector 1">
          <a:extLst>
            <a:ext uri="{FF2B5EF4-FFF2-40B4-BE49-F238E27FC236}">
              <a16:creationId xmlns:a16="http://schemas.microsoft.com/office/drawing/2014/main" id="{2D042F11-4266-4558-9114-E6FF00EE3419}"/>
            </a:ext>
          </a:extLst>
        </xdr:cNvPr>
        <xdr:cNvCxnSpPr/>
      </xdr:nvCxnSpPr>
      <xdr:spPr>
        <a:xfrm flipH="1">
          <a:off x="6972300" y="933450"/>
          <a:ext cx="1409700" cy="2200275"/>
        </a:xfrm>
        <a:prstGeom prst="straightConnector1">
          <a:avLst/>
        </a:prstGeom>
        <a:ln w="63500" cap="flat" cmpd="sng" algn="ctr">
          <a:solidFill>
            <a:schemeClr val="accent3">
              <a:lumMod val="40000"/>
              <a:lumOff val="60000"/>
            </a:schemeClr>
          </a:solidFill>
          <a:prstDash val="solid"/>
          <a:round/>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oneCellAnchor>
    <xdr:from>
      <xdr:col>0</xdr:col>
      <xdr:colOff>295275</xdr:colOff>
      <xdr:row>2</xdr:row>
      <xdr:rowOff>95250</xdr:rowOff>
    </xdr:from>
    <xdr:ext cx="7172325" cy="781240"/>
    <xdr:sp macro="" textlink="">
      <xdr:nvSpPr>
        <xdr:cNvPr id="2" name="TextBox 1">
          <a:extLst>
            <a:ext uri="{FF2B5EF4-FFF2-40B4-BE49-F238E27FC236}">
              <a16:creationId xmlns:a16="http://schemas.microsoft.com/office/drawing/2014/main" id="{78A85A99-91CB-97B3-746B-B2DE78276E46}"/>
            </a:ext>
          </a:extLst>
        </xdr:cNvPr>
        <xdr:cNvSpPr txBox="1"/>
      </xdr:nvSpPr>
      <xdr:spPr>
        <a:xfrm>
          <a:off x="295275" y="476250"/>
          <a:ext cx="7172325" cy="781240"/>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The calculations in this sheet relate to three scenarios:  1) no</a:t>
          </a:r>
          <a:r>
            <a:rPr lang="en-US" sz="1100" baseline="0"/>
            <a:t> digester or separator, land-applying raw manure (columns B-G), 2) digester and separator processing manure and food waste, but not grass (columns J-Q), and 3) adding the grass to the system (columns R-X).  To display the grass addition in scenario 3, unhide the Inputs with Grass sheet and change cell C4 from "No" to "Yes".</a:t>
          </a:r>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wfl9@psu.edu"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E93A6-04E9-42DB-8C9C-AE86309EAAD6}">
  <sheetPr codeName="Sheet15"/>
  <dimension ref="L8:Y36"/>
  <sheetViews>
    <sheetView tabSelected="1" workbookViewId="0">
      <selection activeCell="X8" sqref="X8"/>
    </sheetView>
  </sheetViews>
  <sheetFormatPr defaultColWidth="8.7109375" defaultRowHeight="15" x14ac:dyDescent="0.25"/>
  <cols>
    <col min="1" max="12" width="8.7109375" style="436"/>
    <col min="13" max="13" width="10.85546875" style="436" customWidth="1"/>
    <col min="14" max="16384" width="8.7109375" style="436"/>
  </cols>
  <sheetData>
    <row r="8" spans="12:25" x14ac:dyDescent="0.25">
      <c r="Y8" s="729"/>
    </row>
    <row r="10" spans="12:25" x14ac:dyDescent="0.25">
      <c r="L10" s="434"/>
      <c r="M10" s="435"/>
    </row>
    <row r="36" ht="15.75" customHeight="1" x14ac:dyDescent="0.25"/>
  </sheetData>
  <sheetProtection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1"/>
  <dimension ref="B1:O75"/>
  <sheetViews>
    <sheetView workbookViewId="0"/>
  </sheetViews>
  <sheetFormatPr defaultColWidth="8.85546875" defaultRowHeight="14.25" x14ac:dyDescent="0.2"/>
  <cols>
    <col min="1" max="1" width="2.42578125" style="108" customWidth="1"/>
    <col min="2" max="2" width="74" style="108" customWidth="1"/>
    <col min="3" max="3" width="15.42578125" style="108" customWidth="1"/>
    <col min="4" max="4" width="22.7109375" style="108" bestFit="1" customWidth="1"/>
    <col min="5" max="5" width="3.85546875" style="108" customWidth="1"/>
    <col min="6" max="15" width="26.28515625" style="108" bestFit="1" customWidth="1"/>
    <col min="16" max="243" width="9.140625" style="108"/>
    <col min="244" max="244" width="21.42578125" style="108" customWidth="1"/>
    <col min="245" max="245" width="16.42578125" style="108" customWidth="1"/>
    <col min="246" max="246" width="18" style="108" customWidth="1"/>
    <col min="247" max="247" width="23.7109375" style="108" customWidth="1"/>
    <col min="248" max="248" width="26" style="108" customWidth="1"/>
    <col min="249" max="249" width="21.42578125" style="108" customWidth="1"/>
    <col min="250" max="250" width="20.85546875" style="108" customWidth="1"/>
    <col min="251" max="251" width="0" style="108" hidden="1" customWidth="1"/>
    <col min="252" max="499" width="9.140625" style="108"/>
    <col min="500" max="500" width="21.42578125" style="108" customWidth="1"/>
    <col min="501" max="501" width="16.42578125" style="108" customWidth="1"/>
    <col min="502" max="502" width="18" style="108" customWidth="1"/>
    <col min="503" max="503" width="23.7109375" style="108" customWidth="1"/>
    <col min="504" max="504" width="26" style="108" customWidth="1"/>
    <col min="505" max="505" width="21.42578125" style="108" customWidth="1"/>
    <col min="506" max="506" width="20.85546875" style="108" customWidth="1"/>
    <col min="507" max="507" width="0" style="108" hidden="1" customWidth="1"/>
    <col min="508" max="755" width="9.140625" style="108"/>
    <col min="756" max="756" width="21.42578125" style="108" customWidth="1"/>
    <col min="757" max="757" width="16.42578125" style="108" customWidth="1"/>
    <col min="758" max="758" width="18" style="108" customWidth="1"/>
    <col min="759" max="759" width="23.7109375" style="108" customWidth="1"/>
    <col min="760" max="760" width="26" style="108" customWidth="1"/>
    <col min="761" max="761" width="21.42578125" style="108" customWidth="1"/>
    <col min="762" max="762" width="20.85546875" style="108" customWidth="1"/>
    <col min="763" max="763" width="0" style="108" hidden="1" customWidth="1"/>
    <col min="764" max="1011" width="9.140625" style="108"/>
    <col min="1012" max="1012" width="21.42578125" style="108" customWidth="1"/>
    <col min="1013" max="1013" width="16.42578125" style="108" customWidth="1"/>
    <col min="1014" max="1014" width="18" style="108" customWidth="1"/>
    <col min="1015" max="1015" width="23.7109375" style="108" customWidth="1"/>
    <col min="1016" max="1016" width="26" style="108" customWidth="1"/>
    <col min="1017" max="1017" width="21.42578125" style="108" customWidth="1"/>
    <col min="1018" max="1018" width="20.85546875" style="108" customWidth="1"/>
    <col min="1019" max="1019" width="0" style="108" hidden="1" customWidth="1"/>
    <col min="1020" max="1267" width="9.140625" style="108"/>
    <col min="1268" max="1268" width="21.42578125" style="108" customWidth="1"/>
    <col min="1269" max="1269" width="16.42578125" style="108" customWidth="1"/>
    <col min="1270" max="1270" width="18" style="108" customWidth="1"/>
    <col min="1271" max="1271" width="23.7109375" style="108" customWidth="1"/>
    <col min="1272" max="1272" width="26" style="108" customWidth="1"/>
    <col min="1273" max="1273" width="21.42578125" style="108" customWidth="1"/>
    <col min="1274" max="1274" width="20.85546875" style="108" customWidth="1"/>
    <col min="1275" max="1275" width="0" style="108" hidden="1" customWidth="1"/>
    <col min="1276" max="1523" width="9.140625" style="108"/>
    <col min="1524" max="1524" width="21.42578125" style="108" customWidth="1"/>
    <col min="1525" max="1525" width="16.42578125" style="108" customWidth="1"/>
    <col min="1526" max="1526" width="18" style="108" customWidth="1"/>
    <col min="1527" max="1527" width="23.7109375" style="108" customWidth="1"/>
    <col min="1528" max="1528" width="26" style="108" customWidth="1"/>
    <col min="1529" max="1529" width="21.42578125" style="108" customWidth="1"/>
    <col min="1530" max="1530" width="20.85546875" style="108" customWidth="1"/>
    <col min="1531" max="1531" width="0" style="108" hidden="1" customWidth="1"/>
    <col min="1532" max="1779" width="9.140625" style="108"/>
    <col min="1780" max="1780" width="21.42578125" style="108" customWidth="1"/>
    <col min="1781" max="1781" width="16.42578125" style="108" customWidth="1"/>
    <col min="1782" max="1782" width="18" style="108" customWidth="1"/>
    <col min="1783" max="1783" width="23.7109375" style="108" customWidth="1"/>
    <col min="1784" max="1784" width="26" style="108" customWidth="1"/>
    <col min="1785" max="1785" width="21.42578125" style="108" customWidth="1"/>
    <col min="1786" max="1786" width="20.85546875" style="108" customWidth="1"/>
    <col min="1787" max="1787" width="0" style="108" hidden="1" customWidth="1"/>
    <col min="1788" max="2035" width="9.140625" style="108"/>
    <col min="2036" max="2036" width="21.42578125" style="108" customWidth="1"/>
    <col min="2037" max="2037" width="16.42578125" style="108" customWidth="1"/>
    <col min="2038" max="2038" width="18" style="108" customWidth="1"/>
    <col min="2039" max="2039" width="23.7109375" style="108" customWidth="1"/>
    <col min="2040" max="2040" width="26" style="108" customWidth="1"/>
    <col min="2041" max="2041" width="21.42578125" style="108" customWidth="1"/>
    <col min="2042" max="2042" width="20.85546875" style="108" customWidth="1"/>
    <col min="2043" max="2043" width="0" style="108" hidden="1" customWidth="1"/>
    <col min="2044" max="2291" width="9.140625" style="108"/>
    <col min="2292" max="2292" width="21.42578125" style="108" customWidth="1"/>
    <col min="2293" max="2293" width="16.42578125" style="108" customWidth="1"/>
    <col min="2294" max="2294" width="18" style="108" customWidth="1"/>
    <col min="2295" max="2295" width="23.7109375" style="108" customWidth="1"/>
    <col min="2296" max="2296" width="26" style="108" customWidth="1"/>
    <col min="2297" max="2297" width="21.42578125" style="108" customWidth="1"/>
    <col min="2298" max="2298" width="20.85546875" style="108" customWidth="1"/>
    <col min="2299" max="2299" width="0" style="108" hidden="1" customWidth="1"/>
    <col min="2300" max="2547" width="9.140625" style="108"/>
    <col min="2548" max="2548" width="21.42578125" style="108" customWidth="1"/>
    <col min="2549" max="2549" width="16.42578125" style="108" customWidth="1"/>
    <col min="2550" max="2550" width="18" style="108" customWidth="1"/>
    <col min="2551" max="2551" width="23.7109375" style="108" customWidth="1"/>
    <col min="2552" max="2552" width="26" style="108" customWidth="1"/>
    <col min="2553" max="2553" width="21.42578125" style="108" customWidth="1"/>
    <col min="2554" max="2554" width="20.85546875" style="108" customWidth="1"/>
    <col min="2555" max="2555" width="0" style="108" hidden="1" customWidth="1"/>
    <col min="2556" max="2803" width="9.140625" style="108"/>
    <col min="2804" max="2804" width="21.42578125" style="108" customWidth="1"/>
    <col min="2805" max="2805" width="16.42578125" style="108" customWidth="1"/>
    <col min="2806" max="2806" width="18" style="108" customWidth="1"/>
    <col min="2807" max="2807" width="23.7109375" style="108" customWidth="1"/>
    <col min="2808" max="2808" width="26" style="108" customWidth="1"/>
    <col min="2809" max="2809" width="21.42578125" style="108" customWidth="1"/>
    <col min="2810" max="2810" width="20.85546875" style="108" customWidth="1"/>
    <col min="2811" max="2811" width="0" style="108" hidden="1" customWidth="1"/>
    <col min="2812" max="3059" width="9.140625" style="108"/>
    <col min="3060" max="3060" width="21.42578125" style="108" customWidth="1"/>
    <col min="3061" max="3061" width="16.42578125" style="108" customWidth="1"/>
    <col min="3062" max="3062" width="18" style="108" customWidth="1"/>
    <col min="3063" max="3063" width="23.7109375" style="108" customWidth="1"/>
    <col min="3064" max="3064" width="26" style="108" customWidth="1"/>
    <col min="3065" max="3065" width="21.42578125" style="108" customWidth="1"/>
    <col min="3066" max="3066" width="20.85546875" style="108" customWidth="1"/>
    <col min="3067" max="3067" width="0" style="108" hidden="1" customWidth="1"/>
    <col min="3068" max="3315" width="9.140625" style="108"/>
    <col min="3316" max="3316" width="21.42578125" style="108" customWidth="1"/>
    <col min="3317" max="3317" width="16.42578125" style="108" customWidth="1"/>
    <col min="3318" max="3318" width="18" style="108" customWidth="1"/>
    <col min="3319" max="3319" width="23.7109375" style="108" customWidth="1"/>
    <col min="3320" max="3320" width="26" style="108" customWidth="1"/>
    <col min="3321" max="3321" width="21.42578125" style="108" customWidth="1"/>
    <col min="3322" max="3322" width="20.85546875" style="108" customWidth="1"/>
    <col min="3323" max="3323" width="0" style="108" hidden="1" customWidth="1"/>
    <col min="3324" max="3571" width="9.140625" style="108"/>
    <col min="3572" max="3572" width="21.42578125" style="108" customWidth="1"/>
    <col min="3573" max="3573" width="16.42578125" style="108" customWidth="1"/>
    <col min="3574" max="3574" width="18" style="108" customWidth="1"/>
    <col min="3575" max="3575" width="23.7109375" style="108" customWidth="1"/>
    <col min="3576" max="3576" width="26" style="108" customWidth="1"/>
    <col min="3577" max="3577" width="21.42578125" style="108" customWidth="1"/>
    <col min="3578" max="3578" width="20.85546875" style="108" customWidth="1"/>
    <col min="3579" max="3579" width="0" style="108" hidden="1" customWidth="1"/>
    <col min="3580" max="3827" width="9.140625" style="108"/>
    <col min="3828" max="3828" width="21.42578125" style="108" customWidth="1"/>
    <col min="3829" max="3829" width="16.42578125" style="108" customWidth="1"/>
    <col min="3830" max="3830" width="18" style="108" customWidth="1"/>
    <col min="3831" max="3831" width="23.7109375" style="108" customWidth="1"/>
    <col min="3832" max="3832" width="26" style="108" customWidth="1"/>
    <col min="3833" max="3833" width="21.42578125" style="108" customWidth="1"/>
    <col min="3834" max="3834" width="20.85546875" style="108" customWidth="1"/>
    <col min="3835" max="3835" width="0" style="108" hidden="1" customWidth="1"/>
    <col min="3836" max="4083" width="9.140625" style="108"/>
    <col min="4084" max="4084" width="21.42578125" style="108" customWidth="1"/>
    <col min="4085" max="4085" width="16.42578125" style="108" customWidth="1"/>
    <col min="4086" max="4086" width="18" style="108" customWidth="1"/>
    <col min="4087" max="4087" width="23.7109375" style="108" customWidth="1"/>
    <col min="4088" max="4088" width="26" style="108" customWidth="1"/>
    <col min="4089" max="4089" width="21.42578125" style="108" customWidth="1"/>
    <col min="4090" max="4090" width="20.85546875" style="108" customWidth="1"/>
    <col min="4091" max="4091" width="0" style="108" hidden="1" customWidth="1"/>
    <col min="4092" max="4339" width="9.140625" style="108"/>
    <col min="4340" max="4340" width="21.42578125" style="108" customWidth="1"/>
    <col min="4341" max="4341" width="16.42578125" style="108" customWidth="1"/>
    <col min="4342" max="4342" width="18" style="108" customWidth="1"/>
    <col min="4343" max="4343" width="23.7109375" style="108" customWidth="1"/>
    <col min="4344" max="4344" width="26" style="108" customWidth="1"/>
    <col min="4345" max="4345" width="21.42578125" style="108" customWidth="1"/>
    <col min="4346" max="4346" width="20.85546875" style="108" customWidth="1"/>
    <col min="4347" max="4347" width="0" style="108" hidden="1" customWidth="1"/>
    <col min="4348" max="4595" width="9.140625" style="108"/>
    <col min="4596" max="4596" width="21.42578125" style="108" customWidth="1"/>
    <col min="4597" max="4597" width="16.42578125" style="108" customWidth="1"/>
    <col min="4598" max="4598" width="18" style="108" customWidth="1"/>
    <col min="4599" max="4599" width="23.7109375" style="108" customWidth="1"/>
    <col min="4600" max="4600" width="26" style="108" customWidth="1"/>
    <col min="4601" max="4601" width="21.42578125" style="108" customWidth="1"/>
    <col min="4602" max="4602" width="20.85546875" style="108" customWidth="1"/>
    <col min="4603" max="4603" width="0" style="108" hidden="1" customWidth="1"/>
    <col min="4604" max="4851" width="9.140625" style="108"/>
    <col min="4852" max="4852" width="21.42578125" style="108" customWidth="1"/>
    <col min="4853" max="4853" width="16.42578125" style="108" customWidth="1"/>
    <col min="4854" max="4854" width="18" style="108" customWidth="1"/>
    <col min="4855" max="4855" width="23.7109375" style="108" customWidth="1"/>
    <col min="4856" max="4856" width="26" style="108" customWidth="1"/>
    <col min="4857" max="4857" width="21.42578125" style="108" customWidth="1"/>
    <col min="4858" max="4858" width="20.85546875" style="108" customWidth="1"/>
    <col min="4859" max="4859" width="0" style="108" hidden="1" customWidth="1"/>
    <col min="4860" max="5107" width="9.140625" style="108"/>
    <col min="5108" max="5108" width="21.42578125" style="108" customWidth="1"/>
    <col min="5109" max="5109" width="16.42578125" style="108" customWidth="1"/>
    <col min="5110" max="5110" width="18" style="108" customWidth="1"/>
    <col min="5111" max="5111" width="23.7109375" style="108" customWidth="1"/>
    <col min="5112" max="5112" width="26" style="108" customWidth="1"/>
    <col min="5113" max="5113" width="21.42578125" style="108" customWidth="1"/>
    <col min="5114" max="5114" width="20.85546875" style="108" customWidth="1"/>
    <col min="5115" max="5115" width="0" style="108" hidden="1" customWidth="1"/>
    <col min="5116" max="5363" width="9.140625" style="108"/>
    <col min="5364" max="5364" width="21.42578125" style="108" customWidth="1"/>
    <col min="5365" max="5365" width="16.42578125" style="108" customWidth="1"/>
    <col min="5366" max="5366" width="18" style="108" customWidth="1"/>
    <col min="5367" max="5367" width="23.7109375" style="108" customWidth="1"/>
    <col min="5368" max="5368" width="26" style="108" customWidth="1"/>
    <col min="5369" max="5369" width="21.42578125" style="108" customWidth="1"/>
    <col min="5370" max="5370" width="20.85546875" style="108" customWidth="1"/>
    <col min="5371" max="5371" width="0" style="108" hidden="1" customWidth="1"/>
    <col min="5372" max="5619" width="9.140625" style="108"/>
    <col min="5620" max="5620" width="21.42578125" style="108" customWidth="1"/>
    <col min="5621" max="5621" width="16.42578125" style="108" customWidth="1"/>
    <col min="5622" max="5622" width="18" style="108" customWidth="1"/>
    <col min="5623" max="5623" width="23.7109375" style="108" customWidth="1"/>
    <col min="5624" max="5624" width="26" style="108" customWidth="1"/>
    <col min="5625" max="5625" width="21.42578125" style="108" customWidth="1"/>
    <col min="5626" max="5626" width="20.85546875" style="108" customWidth="1"/>
    <col min="5627" max="5627" width="0" style="108" hidden="1" customWidth="1"/>
    <col min="5628" max="5875" width="9.140625" style="108"/>
    <col min="5876" max="5876" width="21.42578125" style="108" customWidth="1"/>
    <col min="5877" max="5877" width="16.42578125" style="108" customWidth="1"/>
    <col min="5878" max="5878" width="18" style="108" customWidth="1"/>
    <col min="5879" max="5879" width="23.7109375" style="108" customWidth="1"/>
    <col min="5880" max="5880" width="26" style="108" customWidth="1"/>
    <col min="5881" max="5881" width="21.42578125" style="108" customWidth="1"/>
    <col min="5882" max="5882" width="20.85546875" style="108" customWidth="1"/>
    <col min="5883" max="5883" width="0" style="108" hidden="1" customWidth="1"/>
    <col min="5884" max="6131" width="9.140625" style="108"/>
    <col min="6132" max="6132" width="21.42578125" style="108" customWidth="1"/>
    <col min="6133" max="6133" width="16.42578125" style="108" customWidth="1"/>
    <col min="6134" max="6134" width="18" style="108" customWidth="1"/>
    <col min="6135" max="6135" width="23.7109375" style="108" customWidth="1"/>
    <col min="6136" max="6136" width="26" style="108" customWidth="1"/>
    <col min="6137" max="6137" width="21.42578125" style="108" customWidth="1"/>
    <col min="6138" max="6138" width="20.85546875" style="108" customWidth="1"/>
    <col min="6139" max="6139" width="0" style="108" hidden="1" customWidth="1"/>
    <col min="6140" max="6387" width="9.140625" style="108"/>
    <col min="6388" max="6388" width="21.42578125" style="108" customWidth="1"/>
    <col min="6389" max="6389" width="16.42578125" style="108" customWidth="1"/>
    <col min="6390" max="6390" width="18" style="108" customWidth="1"/>
    <col min="6391" max="6391" width="23.7109375" style="108" customWidth="1"/>
    <col min="6392" max="6392" width="26" style="108" customWidth="1"/>
    <col min="6393" max="6393" width="21.42578125" style="108" customWidth="1"/>
    <col min="6394" max="6394" width="20.85546875" style="108" customWidth="1"/>
    <col min="6395" max="6395" width="0" style="108" hidden="1" customWidth="1"/>
    <col min="6396" max="6643" width="9.140625" style="108"/>
    <col min="6644" max="6644" width="21.42578125" style="108" customWidth="1"/>
    <col min="6645" max="6645" width="16.42578125" style="108" customWidth="1"/>
    <col min="6646" max="6646" width="18" style="108" customWidth="1"/>
    <col min="6647" max="6647" width="23.7109375" style="108" customWidth="1"/>
    <col min="6648" max="6648" width="26" style="108" customWidth="1"/>
    <col min="6649" max="6649" width="21.42578125" style="108" customWidth="1"/>
    <col min="6650" max="6650" width="20.85546875" style="108" customWidth="1"/>
    <col min="6651" max="6651" width="0" style="108" hidden="1" customWidth="1"/>
    <col min="6652" max="6899" width="9.140625" style="108"/>
    <col min="6900" max="6900" width="21.42578125" style="108" customWidth="1"/>
    <col min="6901" max="6901" width="16.42578125" style="108" customWidth="1"/>
    <col min="6902" max="6902" width="18" style="108" customWidth="1"/>
    <col min="6903" max="6903" width="23.7109375" style="108" customWidth="1"/>
    <col min="6904" max="6904" width="26" style="108" customWidth="1"/>
    <col min="6905" max="6905" width="21.42578125" style="108" customWidth="1"/>
    <col min="6906" max="6906" width="20.85546875" style="108" customWidth="1"/>
    <col min="6907" max="6907" width="0" style="108" hidden="1" customWidth="1"/>
    <col min="6908" max="7155" width="9.140625" style="108"/>
    <col min="7156" max="7156" width="21.42578125" style="108" customWidth="1"/>
    <col min="7157" max="7157" width="16.42578125" style="108" customWidth="1"/>
    <col min="7158" max="7158" width="18" style="108" customWidth="1"/>
    <col min="7159" max="7159" width="23.7109375" style="108" customWidth="1"/>
    <col min="7160" max="7160" width="26" style="108" customWidth="1"/>
    <col min="7161" max="7161" width="21.42578125" style="108" customWidth="1"/>
    <col min="7162" max="7162" width="20.85546875" style="108" customWidth="1"/>
    <col min="7163" max="7163" width="0" style="108" hidden="1" customWidth="1"/>
    <col min="7164" max="7411" width="9.140625" style="108"/>
    <col min="7412" max="7412" width="21.42578125" style="108" customWidth="1"/>
    <col min="7413" max="7413" width="16.42578125" style="108" customWidth="1"/>
    <col min="7414" max="7414" width="18" style="108" customWidth="1"/>
    <col min="7415" max="7415" width="23.7109375" style="108" customWidth="1"/>
    <col min="7416" max="7416" width="26" style="108" customWidth="1"/>
    <col min="7417" max="7417" width="21.42578125" style="108" customWidth="1"/>
    <col min="7418" max="7418" width="20.85546875" style="108" customWidth="1"/>
    <col min="7419" max="7419" width="0" style="108" hidden="1" customWidth="1"/>
    <col min="7420" max="7667" width="9.140625" style="108"/>
    <col min="7668" max="7668" width="21.42578125" style="108" customWidth="1"/>
    <col min="7669" max="7669" width="16.42578125" style="108" customWidth="1"/>
    <col min="7670" max="7670" width="18" style="108" customWidth="1"/>
    <col min="7671" max="7671" width="23.7109375" style="108" customWidth="1"/>
    <col min="7672" max="7672" width="26" style="108" customWidth="1"/>
    <col min="7673" max="7673" width="21.42578125" style="108" customWidth="1"/>
    <col min="7674" max="7674" width="20.85546875" style="108" customWidth="1"/>
    <col min="7675" max="7675" width="0" style="108" hidden="1" customWidth="1"/>
    <col min="7676" max="7923" width="9.140625" style="108"/>
    <col min="7924" max="7924" width="21.42578125" style="108" customWidth="1"/>
    <col min="7925" max="7925" width="16.42578125" style="108" customWidth="1"/>
    <col min="7926" max="7926" width="18" style="108" customWidth="1"/>
    <col min="7927" max="7927" width="23.7109375" style="108" customWidth="1"/>
    <col min="7928" max="7928" width="26" style="108" customWidth="1"/>
    <col min="7929" max="7929" width="21.42578125" style="108" customWidth="1"/>
    <col min="7930" max="7930" width="20.85546875" style="108" customWidth="1"/>
    <col min="7931" max="7931" width="0" style="108" hidden="1" customWidth="1"/>
    <col min="7932" max="8179" width="9.140625" style="108"/>
    <col min="8180" max="8180" width="21.42578125" style="108" customWidth="1"/>
    <col min="8181" max="8181" width="16.42578125" style="108" customWidth="1"/>
    <col min="8182" max="8182" width="18" style="108" customWidth="1"/>
    <col min="8183" max="8183" width="23.7109375" style="108" customWidth="1"/>
    <col min="8184" max="8184" width="26" style="108" customWidth="1"/>
    <col min="8185" max="8185" width="21.42578125" style="108" customWidth="1"/>
    <col min="8186" max="8186" width="20.85546875" style="108" customWidth="1"/>
    <col min="8187" max="8187" width="0" style="108" hidden="1" customWidth="1"/>
    <col min="8188" max="8435" width="9.140625" style="108"/>
    <col min="8436" max="8436" width="21.42578125" style="108" customWidth="1"/>
    <col min="8437" max="8437" width="16.42578125" style="108" customWidth="1"/>
    <col min="8438" max="8438" width="18" style="108" customWidth="1"/>
    <col min="8439" max="8439" width="23.7109375" style="108" customWidth="1"/>
    <col min="8440" max="8440" width="26" style="108" customWidth="1"/>
    <col min="8441" max="8441" width="21.42578125" style="108" customWidth="1"/>
    <col min="8442" max="8442" width="20.85546875" style="108" customWidth="1"/>
    <col min="8443" max="8443" width="0" style="108" hidden="1" customWidth="1"/>
    <col min="8444" max="8691" width="9.140625" style="108"/>
    <col min="8692" max="8692" width="21.42578125" style="108" customWidth="1"/>
    <col min="8693" max="8693" width="16.42578125" style="108" customWidth="1"/>
    <col min="8694" max="8694" width="18" style="108" customWidth="1"/>
    <col min="8695" max="8695" width="23.7109375" style="108" customWidth="1"/>
    <col min="8696" max="8696" width="26" style="108" customWidth="1"/>
    <col min="8697" max="8697" width="21.42578125" style="108" customWidth="1"/>
    <col min="8698" max="8698" width="20.85546875" style="108" customWidth="1"/>
    <col min="8699" max="8699" width="0" style="108" hidden="1" customWidth="1"/>
    <col min="8700" max="8947" width="9.140625" style="108"/>
    <col min="8948" max="8948" width="21.42578125" style="108" customWidth="1"/>
    <col min="8949" max="8949" width="16.42578125" style="108" customWidth="1"/>
    <col min="8950" max="8950" width="18" style="108" customWidth="1"/>
    <col min="8951" max="8951" width="23.7109375" style="108" customWidth="1"/>
    <col min="8952" max="8952" width="26" style="108" customWidth="1"/>
    <col min="8953" max="8953" width="21.42578125" style="108" customWidth="1"/>
    <col min="8954" max="8954" width="20.85546875" style="108" customWidth="1"/>
    <col min="8955" max="8955" width="0" style="108" hidden="1" customWidth="1"/>
    <col min="8956" max="9203" width="9.140625" style="108"/>
    <col min="9204" max="9204" width="21.42578125" style="108" customWidth="1"/>
    <col min="9205" max="9205" width="16.42578125" style="108" customWidth="1"/>
    <col min="9206" max="9206" width="18" style="108" customWidth="1"/>
    <col min="9207" max="9207" width="23.7109375" style="108" customWidth="1"/>
    <col min="9208" max="9208" width="26" style="108" customWidth="1"/>
    <col min="9209" max="9209" width="21.42578125" style="108" customWidth="1"/>
    <col min="9210" max="9210" width="20.85546875" style="108" customWidth="1"/>
    <col min="9211" max="9211" width="0" style="108" hidden="1" customWidth="1"/>
    <col min="9212" max="9459" width="9.140625" style="108"/>
    <col min="9460" max="9460" width="21.42578125" style="108" customWidth="1"/>
    <col min="9461" max="9461" width="16.42578125" style="108" customWidth="1"/>
    <col min="9462" max="9462" width="18" style="108" customWidth="1"/>
    <col min="9463" max="9463" width="23.7109375" style="108" customWidth="1"/>
    <col min="9464" max="9464" width="26" style="108" customWidth="1"/>
    <col min="9465" max="9465" width="21.42578125" style="108" customWidth="1"/>
    <col min="9466" max="9466" width="20.85546875" style="108" customWidth="1"/>
    <col min="9467" max="9467" width="0" style="108" hidden="1" customWidth="1"/>
    <col min="9468" max="9715" width="9.140625" style="108"/>
    <col min="9716" max="9716" width="21.42578125" style="108" customWidth="1"/>
    <col min="9717" max="9717" width="16.42578125" style="108" customWidth="1"/>
    <col min="9718" max="9718" width="18" style="108" customWidth="1"/>
    <col min="9719" max="9719" width="23.7109375" style="108" customWidth="1"/>
    <col min="9720" max="9720" width="26" style="108" customWidth="1"/>
    <col min="9721" max="9721" width="21.42578125" style="108" customWidth="1"/>
    <col min="9722" max="9722" width="20.85546875" style="108" customWidth="1"/>
    <col min="9723" max="9723" width="0" style="108" hidden="1" customWidth="1"/>
    <col min="9724" max="9971" width="9.140625" style="108"/>
    <col min="9972" max="9972" width="21.42578125" style="108" customWidth="1"/>
    <col min="9973" max="9973" width="16.42578125" style="108" customWidth="1"/>
    <col min="9974" max="9974" width="18" style="108" customWidth="1"/>
    <col min="9975" max="9975" width="23.7109375" style="108" customWidth="1"/>
    <col min="9976" max="9976" width="26" style="108" customWidth="1"/>
    <col min="9977" max="9977" width="21.42578125" style="108" customWidth="1"/>
    <col min="9978" max="9978" width="20.85546875" style="108" customWidth="1"/>
    <col min="9979" max="9979" width="0" style="108" hidden="1" customWidth="1"/>
    <col min="9980" max="10227" width="9.140625" style="108"/>
    <col min="10228" max="10228" width="21.42578125" style="108" customWidth="1"/>
    <col min="10229" max="10229" width="16.42578125" style="108" customWidth="1"/>
    <col min="10230" max="10230" width="18" style="108" customWidth="1"/>
    <col min="10231" max="10231" width="23.7109375" style="108" customWidth="1"/>
    <col min="10232" max="10232" width="26" style="108" customWidth="1"/>
    <col min="10233" max="10233" width="21.42578125" style="108" customWidth="1"/>
    <col min="10234" max="10234" width="20.85546875" style="108" customWidth="1"/>
    <col min="10235" max="10235" width="0" style="108" hidden="1" customWidth="1"/>
    <col min="10236" max="10483" width="9.140625" style="108"/>
    <col min="10484" max="10484" width="21.42578125" style="108" customWidth="1"/>
    <col min="10485" max="10485" width="16.42578125" style="108" customWidth="1"/>
    <col min="10486" max="10486" width="18" style="108" customWidth="1"/>
    <col min="10487" max="10487" width="23.7109375" style="108" customWidth="1"/>
    <col min="10488" max="10488" width="26" style="108" customWidth="1"/>
    <col min="10489" max="10489" width="21.42578125" style="108" customWidth="1"/>
    <col min="10490" max="10490" width="20.85546875" style="108" customWidth="1"/>
    <col min="10491" max="10491" width="0" style="108" hidden="1" customWidth="1"/>
    <col min="10492" max="10739" width="9.140625" style="108"/>
    <col min="10740" max="10740" width="21.42578125" style="108" customWidth="1"/>
    <col min="10741" max="10741" width="16.42578125" style="108" customWidth="1"/>
    <col min="10742" max="10742" width="18" style="108" customWidth="1"/>
    <col min="10743" max="10743" width="23.7109375" style="108" customWidth="1"/>
    <col min="10744" max="10744" width="26" style="108" customWidth="1"/>
    <col min="10745" max="10745" width="21.42578125" style="108" customWidth="1"/>
    <col min="10746" max="10746" width="20.85546875" style="108" customWidth="1"/>
    <col min="10747" max="10747" width="0" style="108" hidden="1" customWidth="1"/>
    <col min="10748" max="10995" width="9.140625" style="108"/>
    <col min="10996" max="10996" width="21.42578125" style="108" customWidth="1"/>
    <col min="10997" max="10997" width="16.42578125" style="108" customWidth="1"/>
    <col min="10998" max="10998" width="18" style="108" customWidth="1"/>
    <col min="10999" max="10999" width="23.7109375" style="108" customWidth="1"/>
    <col min="11000" max="11000" width="26" style="108" customWidth="1"/>
    <col min="11001" max="11001" width="21.42578125" style="108" customWidth="1"/>
    <col min="11002" max="11002" width="20.85546875" style="108" customWidth="1"/>
    <col min="11003" max="11003" width="0" style="108" hidden="1" customWidth="1"/>
    <col min="11004" max="11251" width="9.140625" style="108"/>
    <col min="11252" max="11252" width="21.42578125" style="108" customWidth="1"/>
    <col min="11253" max="11253" width="16.42578125" style="108" customWidth="1"/>
    <col min="11254" max="11254" width="18" style="108" customWidth="1"/>
    <col min="11255" max="11255" width="23.7109375" style="108" customWidth="1"/>
    <col min="11256" max="11256" width="26" style="108" customWidth="1"/>
    <col min="11257" max="11257" width="21.42578125" style="108" customWidth="1"/>
    <col min="11258" max="11258" width="20.85546875" style="108" customWidth="1"/>
    <col min="11259" max="11259" width="0" style="108" hidden="1" customWidth="1"/>
    <col min="11260" max="11507" width="9.140625" style="108"/>
    <col min="11508" max="11508" width="21.42578125" style="108" customWidth="1"/>
    <col min="11509" max="11509" width="16.42578125" style="108" customWidth="1"/>
    <col min="11510" max="11510" width="18" style="108" customWidth="1"/>
    <col min="11511" max="11511" width="23.7109375" style="108" customWidth="1"/>
    <col min="11512" max="11512" width="26" style="108" customWidth="1"/>
    <col min="11513" max="11513" width="21.42578125" style="108" customWidth="1"/>
    <col min="11514" max="11514" width="20.85546875" style="108" customWidth="1"/>
    <col min="11515" max="11515" width="0" style="108" hidden="1" customWidth="1"/>
    <col min="11516" max="11763" width="9.140625" style="108"/>
    <col min="11764" max="11764" width="21.42578125" style="108" customWidth="1"/>
    <col min="11765" max="11765" width="16.42578125" style="108" customWidth="1"/>
    <col min="11766" max="11766" width="18" style="108" customWidth="1"/>
    <col min="11767" max="11767" width="23.7109375" style="108" customWidth="1"/>
    <col min="11768" max="11768" width="26" style="108" customWidth="1"/>
    <col min="11769" max="11769" width="21.42578125" style="108" customWidth="1"/>
    <col min="11770" max="11770" width="20.85546875" style="108" customWidth="1"/>
    <col min="11771" max="11771" width="0" style="108" hidden="1" customWidth="1"/>
    <col min="11772" max="12019" width="9.140625" style="108"/>
    <col min="12020" max="12020" width="21.42578125" style="108" customWidth="1"/>
    <col min="12021" max="12021" width="16.42578125" style="108" customWidth="1"/>
    <col min="12022" max="12022" width="18" style="108" customWidth="1"/>
    <col min="12023" max="12023" width="23.7109375" style="108" customWidth="1"/>
    <col min="12024" max="12024" width="26" style="108" customWidth="1"/>
    <col min="12025" max="12025" width="21.42578125" style="108" customWidth="1"/>
    <col min="12026" max="12026" width="20.85546875" style="108" customWidth="1"/>
    <col min="12027" max="12027" width="0" style="108" hidden="1" customWidth="1"/>
    <col min="12028" max="12275" width="9.140625" style="108"/>
    <col min="12276" max="12276" width="21.42578125" style="108" customWidth="1"/>
    <col min="12277" max="12277" width="16.42578125" style="108" customWidth="1"/>
    <col min="12278" max="12278" width="18" style="108" customWidth="1"/>
    <col min="12279" max="12279" width="23.7109375" style="108" customWidth="1"/>
    <col min="12280" max="12280" width="26" style="108" customWidth="1"/>
    <col min="12281" max="12281" width="21.42578125" style="108" customWidth="1"/>
    <col min="12282" max="12282" width="20.85546875" style="108" customWidth="1"/>
    <col min="12283" max="12283" width="0" style="108" hidden="1" customWidth="1"/>
    <col min="12284" max="12531" width="9.140625" style="108"/>
    <col min="12532" max="12532" width="21.42578125" style="108" customWidth="1"/>
    <col min="12533" max="12533" width="16.42578125" style="108" customWidth="1"/>
    <col min="12534" max="12534" width="18" style="108" customWidth="1"/>
    <col min="12535" max="12535" width="23.7109375" style="108" customWidth="1"/>
    <col min="12536" max="12536" width="26" style="108" customWidth="1"/>
    <col min="12537" max="12537" width="21.42578125" style="108" customWidth="1"/>
    <col min="12538" max="12538" width="20.85546875" style="108" customWidth="1"/>
    <col min="12539" max="12539" width="0" style="108" hidden="1" customWidth="1"/>
    <col min="12540" max="12787" width="9.140625" style="108"/>
    <col min="12788" max="12788" width="21.42578125" style="108" customWidth="1"/>
    <col min="12789" max="12789" width="16.42578125" style="108" customWidth="1"/>
    <col min="12790" max="12790" width="18" style="108" customWidth="1"/>
    <col min="12791" max="12791" width="23.7109375" style="108" customWidth="1"/>
    <col min="12792" max="12792" width="26" style="108" customWidth="1"/>
    <col min="12793" max="12793" width="21.42578125" style="108" customWidth="1"/>
    <col min="12794" max="12794" width="20.85546875" style="108" customWidth="1"/>
    <col min="12795" max="12795" width="0" style="108" hidden="1" customWidth="1"/>
    <col min="12796" max="13043" width="9.140625" style="108"/>
    <col min="13044" max="13044" width="21.42578125" style="108" customWidth="1"/>
    <col min="13045" max="13045" width="16.42578125" style="108" customWidth="1"/>
    <col min="13046" max="13046" width="18" style="108" customWidth="1"/>
    <col min="13047" max="13047" width="23.7109375" style="108" customWidth="1"/>
    <col min="13048" max="13048" width="26" style="108" customWidth="1"/>
    <col min="13049" max="13049" width="21.42578125" style="108" customWidth="1"/>
    <col min="13050" max="13050" width="20.85546875" style="108" customWidth="1"/>
    <col min="13051" max="13051" width="0" style="108" hidden="1" customWidth="1"/>
    <col min="13052" max="13299" width="9.140625" style="108"/>
    <col min="13300" max="13300" width="21.42578125" style="108" customWidth="1"/>
    <col min="13301" max="13301" width="16.42578125" style="108" customWidth="1"/>
    <col min="13302" max="13302" width="18" style="108" customWidth="1"/>
    <col min="13303" max="13303" width="23.7109375" style="108" customWidth="1"/>
    <col min="13304" max="13304" width="26" style="108" customWidth="1"/>
    <col min="13305" max="13305" width="21.42578125" style="108" customWidth="1"/>
    <col min="13306" max="13306" width="20.85546875" style="108" customWidth="1"/>
    <col min="13307" max="13307" width="0" style="108" hidden="1" customWidth="1"/>
    <col min="13308" max="13555" width="9.140625" style="108"/>
    <col min="13556" max="13556" width="21.42578125" style="108" customWidth="1"/>
    <col min="13557" max="13557" width="16.42578125" style="108" customWidth="1"/>
    <col min="13558" max="13558" width="18" style="108" customWidth="1"/>
    <col min="13559" max="13559" width="23.7109375" style="108" customWidth="1"/>
    <col min="13560" max="13560" width="26" style="108" customWidth="1"/>
    <col min="13561" max="13561" width="21.42578125" style="108" customWidth="1"/>
    <col min="13562" max="13562" width="20.85546875" style="108" customWidth="1"/>
    <col min="13563" max="13563" width="0" style="108" hidden="1" customWidth="1"/>
    <col min="13564" max="13811" width="9.140625" style="108"/>
    <col min="13812" max="13812" width="21.42578125" style="108" customWidth="1"/>
    <col min="13813" max="13813" width="16.42578125" style="108" customWidth="1"/>
    <col min="13814" max="13814" width="18" style="108" customWidth="1"/>
    <col min="13815" max="13815" width="23.7109375" style="108" customWidth="1"/>
    <col min="13816" max="13816" width="26" style="108" customWidth="1"/>
    <col min="13817" max="13817" width="21.42578125" style="108" customWidth="1"/>
    <col min="13818" max="13818" width="20.85546875" style="108" customWidth="1"/>
    <col min="13819" max="13819" width="0" style="108" hidden="1" customWidth="1"/>
    <col min="13820" max="14067" width="9.140625" style="108"/>
    <col min="14068" max="14068" width="21.42578125" style="108" customWidth="1"/>
    <col min="14069" max="14069" width="16.42578125" style="108" customWidth="1"/>
    <col min="14070" max="14070" width="18" style="108" customWidth="1"/>
    <col min="14071" max="14071" width="23.7109375" style="108" customWidth="1"/>
    <col min="14072" max="14072" width="26" style="108" customWidth="1"/>
    <col min="14073" max="14073" width="21.42578125" style="108" customWidth="1"/>
    <col min="14074" max="14074" width="20.85546875" style="108" customWidth="1"/>
    <col min="14075" max="14075" width="0" style="108" hidden="1" customWidth="1"/>
    <col min="14076" max="14323" width="9.140625" style="108"/>
    <col min="14324" max="14324" width="21.42578125" style="108" customWidth="1"/>
    <col min="14325" max="14325" width="16.42578125" style="108" customWidth="1"/>
    <col min="14326" max="14326" width="18" style="108" customWidth="1"/>
    <col min="14327" max="14327" width="23.7109375" style="108" customWidth="1"/>
    <col min="14328" max="14328" width="26" style="108" customWidth="1"/>
    <col min="14329" max="14329" width="21.42578125" style="108" customWidth="1"/>
    <col min="14330" max="14330" width="20.85546875" style="108" customWidth="1"/>
    <col min="14331" max="14331" width="0" style="108" hidden="1" customWidth="1"/>
    <col min="14332" max="14579" width="9.140625" style="108"/>
    <col min="14580" max="14580" width="21.42578125" style="108" customWidth="1"/>
    <col min="14581" max="14581" width="16.42578125" style="108" customWidth="1"/>
    <col min="14582" max="14582" width="18" style="108" customWidth="1"/>
    <col min="14583" max="14583" width="23.7109375" style="108" customWidth="1"/>
    <col min="14584" max="14584" width="26" style="108" customWidth="1"/>
    <col min="14585" max="14585" width="21.42578125" style="108" customWidth="1"/>
    <col min="14586" max="14586" width="20.85546875" style="108" customWidth="1"/>
    <col min="14587" max="14587" width="0" style="108" hidden="1" customWidth="1"/>
    <col min="14588" max="14835" width="9.140625" style="108"/>
    <col min="14836" max="14836" width="21.42578125" style="108" customWidth="1"/>
    <col min="14837" max="14837" width="16.42578125" style="108" customWidth="1"/>
    <col min="14838" max="14838" width="18" style="108" customWidth="1"/>
    <col min="14839" max="14839" width="23.7109375" style="108" customWidth="1"/>
    <col min="14840" max="14840" width="26" style="108" customWidth="1"/>
    <col min="14841" max="14841" width="21.42578125" style="108" customWidth="1"/>
    <col min="14842" max="14842" width="20.85546875" style="108" customWidth="1"/>
    <col min="14843" max="14843" width="0" style="108" hidden="1" customWidth="1"/>
    <col min="14844" max="15091" width="9.140625" style="108"/>
    <col min="15092" max="15092" width="21.42578125" style="108" customWidth="1"/>
    <col min="15093" max="15093" width="16.42578125" style="108" customWidth="1"/>
    <col min="15094" max="15094" width="18" style="108" customWidth="1"/>
    <col min="15095" max="15095" width="23.7109375" style="108" customWidth="1"/>
    <col min="15096" max="15096" width="26" style="108" customWidth="1"/>
    <col min="15097" max="15097" width="21.42578125" style="108" customWidth="1"/>
    <col min="15098" max="15098" width="20.85546875" style="108" customWidth="1"/>
    <col min="15099" max="15099" width="0" style="108" hidden="1" customWidth="1"/>
    <col min="15100" max="15347" width="9.140625" style="108"/>
    <col min="15348" max="15348" width="21.42578125" style="108" customWidth="1"/>
    <col min="15349" max="15349" width="16.42578125" style="108" customWidth="1"/>
    <col min="15350" max="15350" width="18" style="108" customWidth="1"/>
    <col min="15351" max="15351" width="23.7109375" style="108" customWidth="1"/>
    <col min="15352" max="15352" width="26" style="108" customWidth="1"/>
    <col min="15353" max="15353" width="21.42578125" style="108" customWidth="1"/>
    <col min="15354" max="15354" width="20.85546875" style="108" customWidth="1"/>
    <col min="15355" max="15355" width="0" style="108" hidden="1" customWidth="1"/>
    <col min="15356" max="15603" width="9.140625" style="108"/>
    <col min="15604" max="15604" width="21.42578125" style="108" customWidth="1"/>
    <col min="15605" max="15605" width="16.42578125" style="108" customWidth="1"/>
    <col min="15606" max="15606" width="18" style="108" customWidth="1"/>
    <col min="15607" max="15607" width="23.7109375" style="108" customWidth="1"/>
    <col min="15608" max="15608" width="26" style="108" customWidth="1"/>
    <col min="15609" max="15609" width="21.42578125" style="108" customWidth="1"/>
    <col min="15610" max="15610" width="20.85546875" style="108" customWidth="1"/>
    <col min="15611" max="15611" width="0" style="108" hidden="1" customWidth="1"/>
    <col min="15612" max="15859" width="9.140625" style="108"/>
    <col min="15860" max="15860" width="21.42578125" style="108" customWidth="1"/>
    <col min="15861" max="15861" width="16.42578125" style="108" customWidth="1"/>
    <col min="15862" max="15862" width="18" style="108" customWidth="1"/>
    <col min="15863" max="15863" width="23.7109375" style="108" customWidth="1"/>
    <col min="15864" max="15864" width="26" style="108" customWidth="1"/>
    <col min="15865" max="15865" width="21.42578125" style="108" customWidth="1"/>
    <col min="15866" max="15866" width="20.85546875" style="108" customWidth="1"/>
    <col min="15867" max="15867" width="0" style="108" hidden="1" customWidth="1"/>
    <col min="15868" max="16115" width="9.140625" style="108"/>
    <col min="16116" max="16116" width="21.42578125" style="108" customWidth="1"/>
    <col min="16117" max="16117" width="16.42578125" style="108" customWidth="1"/>
    <col min="16118" max="16118" width="18" style="108" customWidth="1"/>
    <col min="16119" max="16119" width="23.7109375" style="108" customWidth="1"/>
    <col min="16120" max="16120" width="26" style="108" customWidth="1"/>
    <col min="16121" max="16121" width="21.42578125" style="108" customWidth="1"/>
    <col min="16122" max="16122" width="20.85546875" style="108" customWidth="1"/>
    <col min="16123" max="16123" width="0" style="108" hidden="1" customWidth="1"/>
    <col min="16124" max="16384" width="9.140625" style="108"/>
  </cols>
  <sheetData>
    <row r="1" spans="2:15" ht="9" customHeight="1" x14ac:dyDescent="0.2"/>
    <row r="2" spans="2:15" ht="30" customHeight="1" x14ac:dyDescent="0.2">
      <c r="B2" s="143" t="s">
        <v>152</v>
      </c>
      <c r="C2" s="144"/>
      <c r="D2" s="144"/>
      <c r="E2" s="144"/>
      <c r="F2" s="144"/>
      <c r="G2" s="144"/>
      <c r="H2" s="144"/>
      <c r="I2" s="144"/>
      <c r="J2" s="145"/>
    </row>
    <row r="3" spans="2:15" ht="30" customHeight="1" x14ac:dyDescent="0.2">
      <c r="B3" s="1161" t="s">
        <v>145</v>
      </c>
      <c r="C3" s="1162"/>
      <c r="D3" s="1162"/>
      <c r="E3" s="1162"/>
      <c r="F3" s="1162"/>
      <c r="G3" s="1162"/>
      <c r="H3" s="1162"/>
      <c r="I3" s="1162"/>
      <c r="J3" s="1163"/>
    </row>
    <row r="4" spans="2:15" ht="15" customHeight="1" thickBot="1" x14ac:dyDescent="0.25">
      <c r="B4" s="208"/>
      <c r="C4" s="208"/>
      <c r="D4" s="208"/>
      <c r="E4" s="208"/>
      <c r="F4" s="208"/>
      <c r="G4" s="208"/>
      <c r="H4" s="208"/>
      <c r="I4" s="208"/>
      <c r="J4" s="208"/>
    </row>
    <row r="5" spans="2:15" ht="45" customHeight="1" thickBot="1" x14ac:dyDescent="0.25">
      <c r="B5" s="1164" t="s">
        <v>213</v>
      </c>
      <c r="C5" s="1165"/>
      <c r="D5" s="1166"/>
      <c r="E5" s="208"/>
      <c r="F5" s="1161" t="s">
        <v>143</v>
      </c>
      <c r="G5" s="1162"/>
      <c r="H5" s="1162"/>
      <c r="I5" s="1162"/>
      <c r="J5" s="1163"/>
    </row>
    <row r="6" spans="2:15" ht="15.75" thickBot="1" x14ac:dyDescent="0.3">
      <c r="B6" s="286" t="s">
        <v>36</v>
      </c>
      <c r="C6" s="287" t="s">
        <v>47</v>
      </c>
      <c r="D6" s="773" t="s">
        <v>46</v>
      </c>
      <c r="F6" s="730"/>
      <c r="G6" s="730"/>
      <c r="H6" s="730"/>
      <c r="I6" s="730"/>
      <c r="J6" s="730"/>
      <c r="K6" s="730"/>
      <c r="L6" s="730"/>
      <c r="M6" s="731" t="s">
        <v>144</v>
      </c>
      <c r="N6" s="731" t="s">
        <v>144</v>
      </c>
      <c r="O6" s="731" t="s">
        <v>144</v>
      </c>
    </row>
    <row r="7" spans="2:15" s="766" customFormat="1" ht="15.75" x14ac:dyDescent="0.25">
      <c r="B7" s="748" t="s">
        <v>285</v>
      </c>
      <c r="C7" s="749" t="s">
        <v>283</v>
      </c>
      <c r="D7" s="764">
        <f>'Financial Inputs'!P147</f>
        <v>0.09</v>
      </c>
      <c r="E7" s="750"/>
      <c r="F7" s="764"/>
      <c r="G7" s="764"/>
      <c r="H7" s="764"/>
      <c r="I7" s="764"/>
      <c r="J7" s="764"/>
      <c r="K7" s="764"/>
      <c r="L7" s="764"/>
      <c r="M7" s="764"/>
      <c r="N7" s="764"/>
      <c r="O7" s="765"/>
    </row>
    <row r="8" spans="2:15" ht="15" x14ac:dyDescent="0.25">
      <c r="B8" s="290" t="s">
        <v>203</v>
      </c>
      <c r="C8" s="291"/>
      <c r="D8" s="774" t="str">
        <f>IF('Financial Inputs'!$P$56="Pass","Yes","No, see Detailed Inputs sheet")</f>
        <v>Yes</v>
      </c>
      <c r="F8" s="774"/>
      <c r="G8" s="774"/>
      <c r="H8" s="774"/>
      <c r="I8" s="774"/>
      <c r="J8" s="774"/>
      <c r="K8" s="774"/>
      <c r="L8" s="774"/>
      <c r="M8" s="732"/>
      <c r="N8" s="732"/>
      <c r="O8" s="732"/>
    </row>
    <row r="9" spans="2:15" ht="15.75" customHeight="1" x14ac:dyDescent="0.2">
      <c r="B9" s="280" t="s">
        <v>212</v>
      </c>
      <c r="C9" s="279"/>
      <c r="D9" s="775"/>
      <c r="F9" s="775"/>
      <c r="G9" s="775"/>
      <c r="H9" s="775"/>
      <c r="I9" s="775"/>
      <c r="J9" s="775"/>
      <c r="K9" s="775"/>
      <c r="L9" s="775"/>
      <c r="M9" s="733"/>
      <c r="N9" s="733"/>
      <c r="O9" s="733"/>
    </row>
    <row r="10" spans="2:15" s="126" customFormat="1" x14ac:dyDescent="0.2">
      <c r="C10" s="148"/>
      <c r="D10" s="734"/>
      <c r="F10" s="734"/>
      <c r="G10" s="734"/>
      <c r="H10" s="734"/>
      <c r="I10" s="734"/>
      <c r="J10" s="734"/>
      <c r="K10" s="734"/>
      <c r="L10" s="734"/>
      <c r="M10" s="734"/>
      <c r="N10" s="734"/>
      <c r="O10" s="734"/>
    </row>
    <row r="11" spans="2:15" s="126" customFormat="1" ht="15.75" customHeight="1" x14ac:dyDescent="0.25">
      <c r="B11" s="746" t="s">
        <v>35</v>
      </c>
      <c r="C11" s="219"/>
      <c r="D11" s="776"/>
      <c r="E11" s="108"/>
      <c r="F11" s="776"/>
      <c r="G11" s="776"/>
      <c r="H11" s="776"/>
      <c r="I11" s="776"/>
      <c r="J11" s="776"/>
      <c r="K11" s="776"/>
      <c r="L11" s="776"/>
      <c r="M11" s="735"/>
      <c r="N11" s="735"/>
      <c r="O11" s="735"/>
    </row>
    <row r="12" spans="2:15" ht="15.75" thickBot="1" x14ac:dyDescent="0.3">
      <c r="B12" s="146" t="s">
        <v>436</v>
      </c>
      <c r="C12" s="147" t="str">
        <f>'Financial Inputs'!F10</f>
        <v>cubic feet/day</v>
      </c>
      <c r="D12" s="777">
        <f>'Financial Inputs'!G10</f>
        <v>212511.15980986951</v>
      </c>
      <c r="E12" s="149"/>
      <c r="F12" s="777"/>
      <c r="G12" s="777"/>
      <c r="H12" s="777"/>
      <c r="I12" s="777"/>
      <c r="J12" s="777"/>
      <c r="K12" s="777"/>
      <c r="L12" s="777"/>
      <c r="M12" s="737"/>
      <c r="N12" s="737"/>
      <c r="O12" s="737"/>
    </row>
    <row r="13" spans="2:15" s="126" customFormat="1" ht="15.75" customHeight="1" x14ac:dyDescent="0.25">
      <c r="B13" s="747" t="s">
        <v>24</v>
      </c>
      <c r="C13" s="745" t="s">
        <v>217</v>
      </c>
      <c r="D13" s="868">
        <f>'Financial Inputs'!X135</f>
        <v>405.49126514620104</v>
      </c>
      <c r="E13" s="108"/>
      <c r="F13" s="778"/>
      <c r="G13" s="778"/>
      <c r="H13" s="778"/>
      <c r="I13" s="778"/>
      <c r="J13" s="778"/>
      <c r="K13" s="778"/>
      <c r="L13" s="778"/>
      <c r="M13" s="736"/>
      <c r="N13" s="736"/>
      <c r="O13" s="736"/>
    </row>
    <row r="14" spans="2:15" ht="15" x14ac:dyDescent="0.25">
      <c r="B14" s="146" t="str">
        <f>'Financial Inputs'!E16</f>
        <v>Energy Content per Cubic Foot</v>
      </c>
      <c r="C14" s="147" t="str">
        <f>'Financial Inputs'!F16</f>
        <v>BTU/cubic foot</v>
      </c>
      <c r="D14" s="777">
        <f>'Financial Inputs'!G16</f>
        <v>625</v>
      </c>
      <c r="E14" s="149"/>
      <c r="F14" s="777"/>
      <c r="G14" s="777"/>
      <c r="H14" s="777"/>
      <c r="I14" s="777"/>
      <c r="J14" s="777"/>
      <c r="K14" s="777"/>
      <c r="L14" s="777"/>
      <c r="M14" s="737"/>
      <c r="N14" s="737"/>
      <c r="O14" s="737"/>
    </row>
    <row r="15" spans="2:15" ht="15" x14ac:dyDescent="0.25">
      <c r="B15" s="146" t="str">
        <f>'Financial Inputs'!E14</f>
        <v>Availability (100% minus downtime)</v>
      </c>
      <c r="C15" s="147" t="str">
        <f>'Financial Inputs'!F14</f>
        <v>%</v>
      </c>
      <c r="D15" s="767">
        <f>'Financial Inputs'!G14</f>
        <v>0.9</v>
      </c>
      <c r="E15" s="150"/>
      <c r="F15" s="767"/>
      <c r="G15" s="767"/>
      <c r="H15" s="767"/>
      <c r="I15" s="767"/>
      <c r="J15" s="767"/>
      <c r="K15" s="767"/>
      <c r="L15" s="767"/>
      <c r="M15" s="738"/>
      <c r="N15" s="738"/>
      <c r="O15" s="738"/>
    </row>
    <row r="16" spans="2:15" ht="15" x14ac:dyDescent="0.25">
      <c r="B16" s="146" t="str">
        <f>'Financial Inputs'!E20</f>
        <v>Station Service (Parasitic Load)</v>
      </c>
      <c r="C16" s="147" t="str">
        <f>'Financial Inputs'!F20</f>
        <v>%</v>
      </c>
      <c r="D16" s="767">
        <f>'Financial Inputs'!G20</f>
        <v>0</v>
      </c>
      <c r="E16" s="150"/>
      <c r="F16" s="767"/>
      <c r="G16" s="767"/>
      <c r="H16" s="767"/>
      <c r="I16" s="767"/>
      <c r="J16" s="767"/>
      <c r="K16" s="767"/>
      <c r="L16" s="767"/>
      <c r="M16" s="738"/>
      <c r="N16" s="738"/>
      <c r="O16" s="738"/>
    </row>
    <row r="17" spans="2:15" ht="15" x14ac:dyDescent="0.25">
      <c r="B17" s="146" t="s">
        <v>181</v>
      </c>
      <c r="C17" s="147" t="s">
        <v>2</v>
      </c>
      <c r="D17" s="777">
        <f>'Financial Inputs'!G21</f>
        <v>2877203.8209713846</v>
      </c>
      <c r="E17" s="150"/>
      <c r="F17" s="777"/>
      <c r="G17" s="777"/>
      <c r="H17" s="777"/>
      <c r="I17" s="777"/>
      <c r="J17" s="777"/>
      <c r="K17" s="777"/>
      <c r="L17" s="777"/>
      <c r="M17" s="738"/>
      <c r="N17" s="738"/>
      <c r="O17" s="738"/>
    </row>
    <row r="18" spans="2:15" ht="15" x14ac:dyDescent="0.25">
      <c r="B18" s="146" t="s">
        <v>147</v>
      </c>
      <c r="C18" s="147" t="s">
        <v>37</v>
      </c>
      <c r="D18" s="739">
        <f>'Financial Inputs'!G24</f>
        <v>20</v>
      </c>
      <c r="E18" s="150"/>
      <c r="F18" s="739"/>
      <c r="G18" s="739"/>
      <c r="H18" s="739"/>
      <c r="I18" s="739"/>
      <c r="J18" s="739"/>
      <c r="K18" s="739"/>
      <c r="L18" s="739"/>
      <c r="M18" s="738"/>
      <c r="N18" s="738"/>
      <c r="O18" s="738"/>
    </row>
    <row r="19" spans="2:15" ht="15" x14ac:dyDescent="0.25">
      <c r="B19" s="146"/>
      <c r="C19" s="147"/>
      <c r="D19" s="739"/>
      <c r="E19" s="109"/>
      <c r="F19" s="739"/>
      <c r="G19" s="739"/>
      <c r="H19" s="739"/>
      <c r="I19" s="739"/>
      <c r="J19" s="739"/>
      <c r="K19" s="739"/>
      <c r="L19" s="739"/>
      <c r="M19" s="739"/>
      <c r="N19" s="739"/>
      <c r="O19" s="739"/>
    </row>
    <row r="20" spans="2:15" ht="15" x14ac:dyDescent="0.25">
      <c r="B20" s="146" t="s">
        <v>786</v>
      </c>
      <c r="C20" s="147" t="s">
        <v>0</v>
      </c>
      <c r="D20" s="740">
        <f>'Financial Inputs'!$G41-'Financial Inputs'!$G$76</f>
        <v>3549111.7990842806</v>
      </c>
      <c r="E20" s="151"/>
      <c r="F20" s="740"/>
      <c r="G20" s="740"/>
      <c r="H20" s="740"/>
      <c r="I20" s="740"/>
      <c r="J20" s="740"/>
      <c r="K20" s="740"/>
      <c r="L20" s="740"/>
      <c r="M20" s="740"/>
      <c r="N20" s="740"/>
      <c r="O20" s="740"/>
    </row>
    <row r="21" spans="2:15" ht="15" x14ac:dyDescent="0.25">
      <c r="B21" s="146" t="s">
        <v>786</v>
      </c>
      <c r="C21" s="148" t="s">
        <v>218</v>
      </c>
      <c r="D21" s="740">
        <f>D20/D13</f>
        <v>8752.6220763464244</v>
      </c>
      <c r="E21" s="152"/>
      <c r="F21" s="740"/>
      <c r="G21" s="740"/>
      <c r="H21" s="740"/>
      <c r="I21" s="740"/>
      <c r="J21" s="740"/>
      <c r="K21" s="740"/>
      <c r="L21" s="740"/>
      <c r="M21" s="740"/>
      <c r="N21" s="740"/>
      <c r="O21" s="740"/>
    </row>
    <row r="22" spans="2:15" ht="15" x14ac:dyDescent="0.25">
      <c r="B22" s="146"/>
      <c r="C22" s="147"/>
      <c r="D22" s="740"/>
      <c r="E22" s="152"/>
      <c r="F22" s="740"/>
      <c r="G22" s="740"/>
      <c r="H22" s="740"/>
      <c r="I22" s="740"/>
      <c r="J22" s="740"/>
      <c r="K22" s="740"/>
      <c r="L22" s="740"/>
      <c r="M22" s="740"/>
      <c r="N22" s="740"/>
      <c r="O22" s="740"/>
    </row>
    <row r="23" spans="2:15" ht="15" x14ac:dyDescent="0.25">
      <c r="B23" s="146" t="s">
        <v>267</v>
      </c>
      <c r="C23" s="147"/>
      <c r="D23" s="740"/>
      <c r="E23" s="152"/>
      <c r="F23" s="740"/>
      <c r="G23" s="740"/>
      <c r="H23" s="740"/>
      <c r="I23" s="740"/>
      <c r="J23" s="740"/>
      <c r="K23" s="740"/>
      <c r="L23" s="740"/>
      <c r="M23" s="740"/>
      <c r="N23" s="740"/>
      <c r="O23" s="740"/>
    </row>
    <row r="24" spans="2:15" ht="15" x14ac:dyDescent="0.25">
      <c r="B24" s="146" t="str">
        <f>'Financial Inputs'!N148</f>
        <v>Tipping Fee, $/ton</v>
      </c>
      <c r="C24" s="147" t="str">
        <f>'Financial Inputs'!O148</f>
        <v>$/ton</v>
      </c>
      <c r="D24" s="768">
        <f>'Financial Inputs'!P148</f>
        <v>10</v>
      </c>
      <c r="E24" s="152"/>
      <c r="F24" s="768"/>
      <c r="G24" s="768"/>
      <c r="H24" s="768"/>
      <c r="I24" s="768"/>
      <c r="J24" s="768"/>
      <c r="K24" s="768"/>
      <c r="L24" s="768"/>
      <c r="M24" s="740"/>
      <c r="N24" s="740"/>
      <c r="O24" s="740"/>
    </row>
    <row r="25" spans="2:15" ht="15" x14ac:dyDescent="0.25">
      <c r="B25" s="146" t="str">
        <f>'Financial Inputs'!N149</f>
        <v>Quantity Received Each Year, tons</v>
      </c>
      <c r="C25" s="147" t="str">
        <f>'Financial Inputs'!O149</f>
        <v>tons</v>
      </c>
      <c r="D25" s="777">
        <f>'Financial Inputs'!P149</f>
        <v>18250</v>
      </c>
      <c r="E25" s="152"/>
      <c r="F25" s="777"/>
      <c r="G25" s="777"/>
      <c r="H25" s="777"/>
      <c r="I25" s="777"/>
      <c r="J25" s="777"/>
      <c r="K25" s="777"/>
      <c r="L25" s="777"/>
      <c r="M25" s="740"/>
      <c r="N25" s="740"/>
      <c r="O25" s="740"/>
    </row>
    <row r="26" spans="2:15" ht="15.75" x14ac:dyDescent="0.25">
      <c r="B26" s="17" t="s">
        <v>278</v>
      </c>
      <c r="C26" s="109" t="s">
        <v>279</v>
      </c>
      <c r="D26" s="777">
        <f>'Financial Inputs'!P150</f>
        <v>42576.582840351111</v>
      </c>
      <c r="E26" s="152"/>
      <c r="F26" s="777"/>
      <c r="G26" s="777"/>
      <c r="H26" s="777"/>
      <c r="I26" s="777"/>
      <c r="J26" s="777"/>
      <c r="K26" s="777"/>
      <c r="L26" s="777"/>
      <c r="M26" s="740"/>
      <c r="N26" s="740"/>
      <c r="O26" s="740"/>
    </row>
    <row r="27" spans="2:15" ht="15.75" x14ac:dyDescent="0.25">
      <c r="B27" s="26" t="s">
        <v>787</v>
      </c>
      <c r="C27" s="109" t="s">
        <v>279</v>
      </c>
      <c r="D27" s="777">
        <f>'Financial Inputs'!P151</f>
        <v>127231.47841531181</v>
      </c>
      <c r="E27" s="152"/>
      <c r="F27" s="777"/>
      <c r="G27" s="777"/>
      <c r="H27" s="777"/>
      <c r="I27" s="777"/>
      <c r="J27" s="777"/>
      <c r="K27" s="777"/>
      <c r="L27" s="777"/>
      <c r="M27" s="740"/>
      <c r="N27" s="740"/>
      <c r="O27" s="740"/>
    </row>
    <row r="28" spans="2:15" ht="15.75" x14ac:dyDescent="0.25">
      <c r="B28" s="744" t="s">
        <v>409</v>
      </c>
      <c r="C28" s="109" t="s">
        <v>279</v>
      </c>
      <c r="D28" s="777">
        <f>'Financial Inputs'!P152</f>
        <v>125350.22533913102</v>
      </c>
      <c r="E28" s="152"/>
      <c r="F28" s="777"/>
      <c r="G28" s="777"/>
      <c r="H28" s="777"/>
      <c r="I28" s="777"/>
      <c r="J28" s="777"/>
      <c r="K28" s="777"/>
      <c r="L28" s="777"/>
      <c r="M28" s="740"/>
      <c r="N28" s="740"/>
      <c r="O28" s="740"/>
    </row>
    <row r="29" spans="2:15" ht="15.75" x14ac:dyDescent="0.25">
      <c r="B29" s="744" t="s">
        <v>618</v>
      </c>
      <c r="C29" s="109"/>
      <c r="D29" s="777" t="str">
        <f>'Key inputs &amp; Outputs'!F14</f>
        <v>Yes</v>
      </c>
      <c r="E29" s="152"/>
      <c r="F29" s="777"/>
      <c r="G29" s="777"/>
      <c r="H29" s="777"/>
      <c r="I29" s="777"/>
      <c r="J29" s="777"/>
      <c r="K29" s="777"/>
      <c r="L29" s="777"/>
      <c r="M29" s="740"/>
      <c r="N29" s="740"/>
      <c r="O29" s="740"/>
    </row>
    <row r="30" spans="2:15" ht="15.75" x14ac:dyDescent="0.25">
      <c r="B30" s="744" t="s">
        <v>853</v>
      </c>
      <c r="C30" s="999" t="s">
        <v>852</v>
      </c>
      <c r="D30" s="777">
        <f>'Financial Inputs'!G26</f>
        <v>4000</v>
      </c>
      <c r="E30" s="152"/>
      <c r="F30" s="777"/>
      <c r="G30" s="777"/>
      <c r="H30" s="777"/>
      <c r="I30" s="777"/>
      <c r="J30" s="777"/>
      <c r="K30" s="777"/>
      <c r="L30" s="777"/>
      <c r="M30" s="740"/>
      <c r="N30" s="740"/>
      <c r="O30" s="740"/>
    </row>
    <row r="31" spans="2:15" ht="15" x14ac:dyDescent="0.25">
      <c r="B31" s="146"/>
      <c r="C31" s="147"/>
      <c r="D31" s="740"/>
      <c r="E31" s="152"/>
      <c r="F31" s="740"/>
      <c r="G31" s="740"/>
      <c r="H31" s="740"/>
      <c r="I31" s="740"/>
      <c r="J31" s="740"/>
      <c r="K31" s="740"/>
      <c r="L31" s="740"/>
      <c r="M31" s="740"/>
      <c r="N31" s="740"/>
      <c r="O31" s="740"/>
    </row>
    <row r="32" spans="2:15" ht="15" x14ac:dyDescent="0.25">
      <c r="B32" s="146" t="s">
        <v>241</v>
      </c>
      <c r="C32" s="147" t="s">
        <v>247</v>
      </c>
      <c r="D32" s="769">
        <f>'Detailed Cash Flow'!G35</f>
        <v>-10.810517799554303</v>
      </c>
      <c r="E32" s="152"/>
      <c r="F32" s="769"/>
      <c r="G32" s="769"/>
      <c r="H32" s="769"/>
      <c r="I32" s="769"/>
      <c r="J32" s="769"/>
      <c r="K32" s="769"/>
      <c r="L32" s="769"/>
      <c r="M32" s="740"/>
      <c r="N32" s="740"/>
      <c r="O32" s="740"/>
    </row>
    <row r="33" spans="2:15" ht="15" x14ac:dyDescent="0.25">
      <c r="B33" s="146"/>
      <c r="C33" s="147"/>
      <c r="D33" s="739"/>
      <c r="E33" s="109"/>
      <c r="F33" s="739"/>
      <c r="G33" s="739"/>
      <c r="H33" s="739"/>
      <c r="I33" s="739"/>
      <c r="J33" s="739"/>
      <c r="K33" s="739"/>
      <c r="L33" s="739"/>
      <c r="M33" s="739"/>
      <c r="N33" s="739"/>
      <c r="O33" s="739"/>
    </row>
    <row r="34" spans="2:15" ht="15" x14ac:dyDescent="0.25">
      <c r="B34" s="146" t="s">
        <v>272</v>
      </c>
      <c r="C34" s="148" t="s">
        <v>1</v>
      </c>
      <c r="D34" s="741">
        <f>'Financial Inputs'!$G79</f>
        <v>0</v>
      </c>
      <c r="E34" s="153"/>
      <c r="F34" s="741"/>
      <c r="G34" s="741"/>
      <c r="H34" s="741"/>
      <c r="I34" s="741"/>
      <c r="J34" s="741"/>
      <c r="K34" s="741"/>
      <c r="L34" s="741"/>
      <c r="M34" s="741"/>
      <c r="N34" s="741"/>
      <c r="O34" s="741"/>
    </row>
    <row r="35" spans="2:15" ht="15" x14ac:dyDescent="0.25">
      <c r="B35" s="146" t="s">
        <v>180</v>
      </c>
      <c r="C35" s="147" t="s">
        <v>1</v>
      </c>
      <c r="D35" s="770">
        <f>'Financial Inputs'!$V195</f>
        <v>0.10000000000000007</v>
      </c>
      <c r="E35" s="153"/>
      <c r="F35" s="770"/>
      <c r="G35" s="770"/>
      <c r="H35" s="770"/>
      <c r="I35" s="770"/>
      <c r="J35" s="770"/>
      <c r="K35" s="770"/>
      <c r="L35" s="770"/>
      <c r="M35" s="741"/>
      <c r="N35" s="741"/>
      <c r="O35" s="741"/>
    </row>
    <row r="36" spans="2:15" ht="15" x14ac:dyDescent="0.25">
      <c r="B36" s="146" t="s">
        <v>169</v>
      </c>
      <c r="C36" s="148" t="s">
        <v>1</v>
      </c>
      <c r="D36" s="741">
        <f>'Financial Inputs'!$P159</f>
        <v>0.25</v>
      </c>
      <c r="E36" s="153"/>
      <c r="F36" s="741"/>
      <c r="G36" s="741"/>
      <c r="H36" s="741"/>
      <c r="I36" s="741"/>
      <c r="J36" s="741"/>
      <c r="K36" s="741"/>
      <c r="L36" s="741"/>
      <c r="M36" s="741"/>
      <c r="N36" s="741"/>
      <c r="O36" s="741"/>
    </row>
    <row r="37" spans="2:15" ht="15" x14ac:dyDescent="0.25">
      <c r="B37" s="146" t="s">
        <v>242</v>
      </c>
      <c r="C37" s="148" t="s">
        <v>37</v>
      </c>
      <c r="D37" s="739">
        <f>IF(D36&gt;0%,'Financial Inputs'!P158,"NA")</f>
        <v>10</v>
      </c>
      <c r="E37" s="153"/>
      <c r="F37" s="739"/>
      <c r="G37" s="739"/>
      <c r="H37" s="739"/>
      <c r="I37" s="739"/>
      <c r="J37" s="739"/>
      <c r="K37" s="739"/>
      <c r="L37" s="739"/>
      <c r="M37" s="741"/>
      <c r="N37" s="741"/>
      <c r="O37" s="741"/>
    </row>
    <row r="38" spans="2:15" ht="15" x14ac:dyDescent="0.25">
      <c r="B38" s="146" t="s">
        <v>146</v>
      </c>
      <c r="C38" s="148" t="s">
        <v>1</v>
      </c>
      <c r="D38" s="770">
        <f>IF(D36&gt;0%,'Financial Inputs'!$V193,"NA")</f>
        <v>8.0000000000000071E-2</v>
      </c>
      <c r="E38" s="153"/>
      <c r="F38" s="770"/>
      <c r="G38" s="770"/>
      <c r="H38" s="770"/>
      <c r="I38" s="770"/>
      <c r="J38" s="770"/>
      <c r="K38" s="770"/>
      <c r="L38" s="770"/>
      <c r="M38" s="741"/>
      <c r="N38" s="741"/>
      <c r="O38" s="741"/>
    </row>
    <row r="39" spans="2:15" ht="15" x14ac:dyDescent="0.25">
      <c r="B39" s="146" t="s">
        <v>11</v>
      </c>
      <c r="C39" s="109"/>
      <c r="D39" s="741" t="str">
        <f>'Financial Inputs'!$P$62</f>
        <v>Yes</v>
      </c>
      <c r="E39" s="153"/>
      <c r="F39" s="741"/>
      <c r="G39" s="741"/>
      <c r="H39" s="741"/>
      <c r="I39" s="741"/>
      <c r="J39" s="741"/>
      <c r="K39" s="741"/>
      <c r="L39" s="741"/>
      <c r="M39" s="741"/>
      <c r="N39" s="741"/>
      <c r="O39" s="741"/>
    </row>
    <row r="40" spans="2:15" ht="15" x14ac:dyDescent="0.25">
      <c r="B40" s="146" t="s">
        <v>243</v>
      </c>
      <c r="C40" s="109"/>
      <c r="D40" s="741" t="str">
        <f>IF($D$39="Yes",'Financial Inputs'!P64,"NA")</f>
        <v>As Generated</v>
      </c>
      <c r="E40" s="153"/>
      <c r="F40" s="741"/>
      <c r="G40" s="741"/>
      <c r="H40" s="741"/>
      <c r="I40" s="741"/>
      <c r="J40" s="741"/>
      <c r="K40" s="741"/>
      <c r="L40" s="741"/>
      <c r="M40" s="741"/>
      <c r="N40" s="741"/>
      <c r="O40" s="741"/>
    </row>
    <row r="41" spans="2:15" ht="15" x14ac:dyDescent="0.25">
      <c r="B41" s="146" t="s">
        <v>244</v>
      </c>
      <c r="C41" s="109"/>
      <c r="D41" s="741" t="str">
        <f>IF($D$39="Yes",'Financial Inputs'!P66,"NA")</f>
        <v>As Generated</v>
      </c>
      <c r="E41" s="153"/>
      <c r="F41" s="741"/>
      <c r="G41" s="741"/>
      <c r="H41" s="741"/>
      <c r="I41" s="741"/>
      <c r="J41" s="741"/>
      <c r="K41" s="741"/>
      <c r="L41" s="741"/>
      <c r="M41" s="741"/>
      <c r="N41" s="741"/>
      <c r="O41" s="741"/>
    </row>
    <row r="42" spans="2:15" ht="15" x14ac:dyDescent="0.25">
      <c r="B42" s="365"/>
      <c r="C42" s="109"/>
      <c r="D42" s="741"/>
      <c r="E42" s="153"/>
      <c r="F42" s="741"/>
      <c r="G42" s="741"/>
      <c r="H42" s="741"/>
      <c r="I42" s="741"/>
      <c r="J42" s="741"/>
      <c r="K42" s="741"/>
      <c r="L42" s="741"/>
      <c r="M42" s="741"/>
      <c r="N42" s="741"/>
      <c r="O42" s="741"/>
    </row>
    <row r="43" spans="2:15" ht="15" x14ac:dyDescent="0.25">
      <c r="B43" s="146" t="s">
        <v>205</v>
      </c>
      <c r="C43" s="147"/>
      <c r="D43" s="740" t="str">
        <f>'Financial Inputs'!P14</f>
        <v>Performance-Based</v>
      </c>
      <c r="E43" s="153"/>
      <c r="F43" s="740"/>
      <c r="G43" s="740"/>
      <c r="H43" s="740"/>
      <c r="I43" s="740"/>
      <c r="J43" s="740"/>
      <c r="K43" s="740"/>
      <c r="L43" s="740"/>
      <c r="M43" s="741"/>
      <c r="N43" s="741"/>
      <c r="O43" s="741"/>
    </row>
    <row r="44" spans="2:15" ht="15" x14ac:dyDescent="0.25">
      <c r="B44" s="146"/>
      <c r="C44" s="147"/>
      <c r="D44" s="740"/>
      <c r="E44" s="153"/>
      <c r="F44" s="740"/>
      <c r="G44" s="740"/>
      <c r="H44" s="740"/>
      <c r="I44" s="740"/>
      <c r="J44" s="740"/>
      <c r="K44" s="740"/>
      <c r="L44" s="740"/>
      <c r="M44" s="741"/>
      <c r="N44" s="741"/>
      <c r="O44" s="741"/>
    </row>
    <row r="45" spans="2:15" ht="15" x14ac:dyDescent="0.25">
      <c r="B45" s="146" t="s">
        <v>133</v>
      </c>
      <c r="D45" s="739" t="str">
        <f>IF(AND('Financial Inputs'!$P$28=0,'Financial Inputs'!$P$44=0),"No","Yes")</f>
        <v>Yes</v>
      </c>
      <c r="E45" s="153"/>
      <c r="F45" s="739"/>
      <c r="G45" s="739"/>
      <c r="H45" s="739"/>
      <c r="I45" s="739"/>
      <c r="J45" s="739"/>
      <c r="K45" s="739"/>
      <c r="L45" s="739"/>
      <c r="M45" s="741"/>
      <c r="N45" s="741"/>
      <c r="O45" s="741"/>
    </row>
    <row r="46" spans="2:15" ht="15" x14ac:dyDescent="0.25">
      <c r="B46" s="217" t="s">
        <v>245</v>
      </c>
      <c r="C46" s="147" t="s">
        <v>0</v>
      </c>
      <c r="D46" s="740">
        <f>IF(D45="No","NA",'Financial Inputs'!$G$76)</f>
        <v>319949.7993371053</v>
      </c>
      <c r="E46" s="153"/>
      <c r="F46" s="740"/>
      <c r="G46" s="740"/>
      <c r="H46" s="740"/>
      <c r="I46" s="740"/>
      <c r="J46" s="740"/>
      <c r="K46" s="740"/>
      <c r="L46" s="740"/>
      <c r="M46" s="741"/>
      <c r="N46" s="741"/>
      <c r="O46" s="741"/>
    </row>
    <row r="47" spans="2:15" ht="15" x14ac:dyDescent="0.25">
      <c r="B47" s="217"/>
      <c r="C47" s="147"/>
      <c r="D47" s="740"/>
      <c r="E47" s="153"/>
      <c r="F47" s="740"/>
      <c r="G47" s="740"/>
      <c r="H47" s="740"/>
      <c r="I47" s="740"/>
      <c r="J47" s="740"/>
      <c r="K47" s="740"/>
      <c r="L47" s="740"/>
      <c r="M47" s="741"/>
      <c r="N47" s="741"/>
      <c r="O47" s="741"/>
    </row>
    <row r="48" spans="2:15" ht="15" x14ac:dyDescent="0.25">
      <c r="B48" s="366" t="s">
        <v>246</v>
      </c>
      <c r="C48" s="129"/>
      <c r="D48" s="742" t="str">
        <f>IF('Financial Inputs'!$P$62="No","NA",'Financial Inputs'!P68)</f>
        <v>No</v>
      </c>
      <c r="F48" s="742"/>
      <c r="G48" s="742"/>
      <c r="H48" s="742"/>
      <c r="I48" s="742"/>
      <c r="J48" s="742"/>
      <c r="K48" s="742"/>
      <c r="L48" s="742"/>
      <c r="M48" s="742"/>
      <c r="N48" s="742"/>
      <c r="O48" s="742"/>
    </row>
    <row r="49" spans="2:15" ht="15" x14ac:dyDescent="0.25">
      <c r="B49" s="366"/>
      <c r="C49" s="129"/>
      <c r="D49" s="742"/>
      <c r="F49" s="742"/>
      <c r="G49" s="742"/>
      <c r="H49" s="742"/>
      <c r="I49" s="742"/>
      <c r="J49" s="742"/>
      <c r="K49" s="742"/>
      <c r="L49" s="742"/>
      <c r="M49" s="742"/>
      <c r="N49" s="742"/>
      <c r="O49" s="742"/>
    </row>
    <row r="50" spans="2:15" ht="18" customHeight="1" x14ac:dyDescent="0.25">
      <c r="B50" s="366" t="s">
        <v>237</v>
      </c>
      <c r="C50" s="129"/>
      <c r="D50" s="1000">
        <f ca="1">'Financial Inputs'!X122</f>
        <v>0.1288255256694637</v>
      </c>
      <c r="F50" s="780"/>
      <c r="G50" s="780"/>
      <c r="H50" s="780"/>
      <c r="I50" s="780"/>
      <c r="J50" s="780"/>
      <c r="K50" s="780"/>
      <c r="L50" s="780"/>
      <c r="M50" s="742"/>
      <c r="N50" s="742"/>
      <c r="O50" s="742"/>
    </row>
    <row r="51" spans="2:15" ht="18" customHeight="1" x14ac:dyDescent="0.25">
      <c r="B51" s="366" t="str">
        <f>"Net present value @ "&amp;FIXED('Financial Inputs'!$P$156*100,2)&amp;"% (over defined useful life)"</f>
        <v>Net present value @ 10.00% (over defined useful life)</v>
      </c>
      <c r="C51" s="129"/>
      <c r="D51" s="781">
        <f ca="1">'Financial Inputs'!X123</f>
        <v>484414.39860387892</v>
      </c>
      <c r="F51" s="781"/>
      <c r="G51" s="781"/>
      <c r="H51" s="781"/>
      <c r="I51" s="781"/>
      <c r="J51" s="781"/>
      <c r="K51" s="781"/>
      <c r="L51" s="781"/>
      <c r="M51" s="742"/>
      <c r="N51" s="742"/>
      <c r="O51" s="742"/>
    </row>
    <row r="52" spans="2:15" ht="18" customHeight="1" x14ac:dyDescent="0.25">
      <c r="B52" s="366" t="str">
        <f>"Year 1 cash flow @ "&amp;FIXED('Financial Inputs'!$P$156*100,2)&amp;"% (over defined useful life)"</f>
        <v>Year 1 cash flow @ 10.00% (over defined useful life)</v>
      </c>
      <c r="C52" s="129"/>
      <c r="D52" s="781">
        <f ca="1">'Financial Inputs'!X124</f>
        <v>49739.428291780685</v>
      </c>
      <c r="F52" s="781"/>
      <c r="G52" s="781"/>
      <c r="H52" s="781"/>
      <c r="I52" s="781"/>
      <c r="J52" s="781"/>
      <c r="K52" s="781"/>
      <c r="L52" s="781"/>
      <c r="M52" s="742"/>
      <c r="N52" s="742"/>
      <c r="O52" s="742"/>
    </row>
    <row r="53" spans="2:15" ht="18" customHeight="1" x14ac:dyDescent="0.25">
      <c r="B53" s="366" t="str">
        <f>'Financial Inputs'!T125</f>
        <v>Electricity</v>
      </c>
      <c r="C53" s="129"/>
      <c r="D53" s="781">
        <f>'Financial Inputs'!X125</f>
        <v>258948.34388742479</v>
      </c>
      <c r="F53" s="781"/>
      <c r="G53" s="781"/>
      <c r="H53" s="781"/>
      <c r="I53" s="781"/>
      <c r="J53" s="781"/>
      <c r="K53" s="781"/>
      <c r="L53" s="781"/>
      <c r="M53" s="742"/>
      <c r="N53" s="742"/>
      <c r="O53" s="742"/>
    </row>
    <row r="54" spans="2:15" ht="18" customHeight="1" x14ac:dyDescent="0.25">
      <c r="B54" s="366" t="str">
        <f>'Financial Inputs'!N148</f>
        <v>Tipping Fee, $/ton</v>
      </c>
      <c r="C54" s="129"/>
      <c r="D54" s="781">
        <f>'Financial Inputs'!P149*'Financial Inputs'!P148</f>
        <v>182500</v>
      </c>
      <c r="F54" s="781"/>
      <c r="G54" s="781"/>
      <c r="H54" s="781"/>
      <c r="I54" s="781"/>
      <c r="J54" s="781"/>
      <c r="K54" s="781"/>
      <c r="L54" s="781"/>
      <c r="M54" s="742"/>
      <c r="N54" s="742"/>
      <c r="O54" s="742"/>
    </row>
    <row r="55" spans="2:15" ht="18" customHeight="1" x14ac:dyDescent="0.25">
      <c r="B55" s="366" t="str">
        <f>'Financial Inputs'!T127</f>
        <v>Waste Heat</v>
      </c>
      <c r="C55" s="129"/>
      <c r="D55" s="781">
        <f>'Financial Inputs'!X127</f>
        <v>49472.24380274977</v>
      </c>
      <c r="F55" s="781"/>
      <c r="G55" s="781"/>
      <c r="H55" s="781"/>
      <c r="I55" s="781"/>
      <c r="J55" s="781"/>
      <c r="K55" s="781"/>
      <c r="L55" s="781"/>
      <c r="M55" s="742"/>
      <c r="N55" s="742"/>
      <c r="O55" s="742"/>
    </row>
    <row r="56" spans="2:15" ht="18" customHeight="1" x14ac:dyDescent="0.25">
      <c r="B56" s="366" t="str">
        <f>'Detailed Cash Flow'!B77</f>
        <v>Nutrient value</v>
      </c>
      <c r="C56" s="129"/>
      <c r="D56" s="781">
        <f>'Financial Inputs'!P151</f>
        <v>127231.47841531181</v>
      </c>
      <c r="F56" s="781"/>
      <c r="G56" s="781"/>
      <c r="H56" s="781"/>
      <c r="I56" s="781"/>
      <c r="J56" s="781"/>
      <c r="K56" s="781"/>
      <c r="L56" s="781"/>
      <c r="M56" s="742"/>
      <c r="N56" s="742"/>
      <c r="O56" s="742"/>
    </row>
    <row r="57" spans="2:15" ht="18" customHeight="1" x14ac:dyDescent="0.25">
      <c r="B57" s="366" t="s">
        <v>439</v>
      </c>
      <c r="C57" s="129"/>
      <c r="D57" s="781">
        <f>'Financial Inputs'!P152</f>
        <v>125350.22533913102</v>
      </c>
      <c r="F57" s="781"/>
      <c r="G57" s="781"/>
      <c r="H57" s="781"/>
      <c r="I57" s="781"/>
      <c r="J57" s="781"/>
      <c r="K57" s="781"/>
      <c r="L57" s="781"/>
      <c r="M57" s="742"/>
      <c r="N57" s="742"/>
      <c r="O57" s="742"/>
    </row>
    <row r="58" spans="2:15" ht="18" customHeight="1" x14ac:dyDescent="0.25">
      <c r="B58" s="366" t="str">
        <f>'Financial Inputs'!T130</f>
        <v>Govt incentives</v>
      </c>
      <c r="C58" s="129"/>
      <c r="D58" s="781">
        <f>'Financial Inputs'!X130</f>
        <v>55799.590641265808</v>
      </c>
      <c r="F58" s="781"/>
      <c r="G58" s="781"/>
      <c r="H58" s="781"/>
      <c r="I58" s="781"/>
      <c r="J58" s="781"/>
      <c r="K58" s="781"/>
      <c r="L58" s="781"/>
      <c r="M58" s="742"/>
      <c r="N58" s="742"/>
      <c r="O58" s="742"/>
    </row>
    <row r="59" spans="2:15" ht="18" customHeight="1" x14ac:dyDescent="0.25">
      <c r="B59" s="366" t="str">
        <f>'Financial Inputs'!T131</f>
        <v>O&amp;M</v>
      </c>
      <c r="C59" s="129"/>
      <c r="D59" s="781">
        <f>'Financial Inputs'!X131</f>
        <v>243113.13952253672</v>
      </c>
      <c r="F59" s="781"/>
      <c r="G59" s="781"/>
      <c r="H59" s="781"/>
      <c r="I59" s="781"/>
      <c r="J59" s="781"/>
      <c r="K59" s="781"/>
      <c r="L59" s="781"/>
      <c r="M59" s="742"/>
      <c r="N59" s="742"/>
      <c r="O59" s="742"/>
    </row>
    <row r="60" spans="2:15" ht="18" customHeight="1" x14ac:dyDescent="0.25">
      <c r="B60" s="366" t="str">
        <f>'Financial Inputs'!T132</f>
        <v>Equip replace</v>
      </c>
      <c r="C60" s="129"/>
      <c r="D60" s="781">
        <f>'Financial Inputs'!X132</f>
        <v>39566.839417554052</v>
      </c>
      <c r="F60" s="781"/>
      <c r="G60" s="781"/>
      <c r="H60" s="781"/>
      <c r="I60" s="781"/>
      <c r="J60" s="781"/>
      <c r="K60" s="781"/>
      <c r="L60" s="781"/>
      <c r="M60" s="742"/>
      <c r="N60" s="742"/>
      <c r="O60" s="742"/>
    </row>
    <row r="61" spans="2:15" ht="18" customHeight="1" x14ac:dyDescent="0.25">
      <c r="B61" s="366" t="str">
        <f>'Financial Inputs'!T133</f>
        <v>Taxes</v>
      </c>
      <c r="C61" s="129"/>
      <c r="D61" s="781">
        <f ca="1">'Financial Inputs'!X133</f>
        <v>39982.598816580365</v>
      </c>
      <c r="F61" s="781"/>
      <c r="G61" s="781"/>
      <c r="H61" s="781"/>
      <c r="I61" s="781"/>
      <c r="J61" s="781"/>
      <c r="K61" s="781"/>
      <c r="L61" s="781"/>
      <c r="M61" s="742"/>
      <c r="N61" s="742"/>
      <c r="O61" s="742"/>
    </row>
    <row r="62" spans="2:15" ht="150.75" customHeight="1" x14ac:dyDescent="0.2">
      <c r="B62" s="270" t="s">
        <v>238</v>
      </c>
      <c r="C62" s="271"/>
      <c r="D62" s="743"/>
      <c r="F62" s="743"/>
      <c r="G62" s="743"/>
      <c r="H62" s="218"/>
      <c r="I62" s="743"/>
      <c r="J62" s="743"/>
      <c r="K62" s="743"/>
      <c r="L62" s="743"/>
      <c r="M62" s="743"/>
      <c r="N62" s="743"/>
      <c r="O62" s="743"/>
    </row>
    <row r="63" spans="2:15" ht="30" customHeight="1" x14ac:dyDescent="0.2">
      <c r="B63" s="155"/>
      <c r="C63" s="155"/>
      <c r="D63" s="155"/>
      <c r="E63" s="155"/>
      <c r="F63" s="155"/>
      <c r="G63" s="155"/>
      <c r="H63" s="155"/>
      <c r="I63" s="155"/>
      <c r="J63" s="155"/>
    </row>
    <row r="64" spans="2:15" ht="18" x14ac:dyDescent="0.25">
      <c r="B64" s="1168"/>
      <c r="C64" s="1168"/>
      <c r="D64" s="1169"/>
      <c r="E64" s="1169"/>
      <c r="F64" s="469"/>
      <c r="G64" s="155"/>
      <c r="H64" s="155"/>
      <c r="I64" s="155"/>
      <c r="J64" s="155"/>
    </row>
    <row r="65" spans="5:10" ht="15" x14ac:dyDescent="0.2">
      <c r="E65" s="470"/>
      <c r="F65" s="470"/>
      <c r="G65" s="109"/>
      <c r="H65" s="109"/>
      <c r="I65" s="109"/>
    </row>
    <row r="66" spans="5:10" ht="15" x14ac:dyDescent="0.25">
      <c r="E66" s="1167"/>
      <c r="F66" s="1167"/>
      <c r="G66" s="154"/>
      <c r="H66" s="154"/>
      <c r="I66" s="154"/>
      <c r="J66" s="154"/>
    </row>
    <row r="67" spans="5:10" ht="15" x14ac:dyDescent="0.2">
      <c r="E67" s="1167"/>
      <c r="F67" s="1167"/>
    </row>
    <row r="68" spans="5:10" ht="15" x14ac:dyDescent="0.2">
      <c r="E68" s="1167"/>
      <c r="F68" s="1167"/>
    </row>
    <row r="69" spans="5:10" ht="15" x14ac:dyDescent="0.2">
      <c r="E69" s="1167"/>
      <c r="F69" s="1167"/>
    </row>
    <row r="70" spans="5:10" ht="15" x14ac:dyDescent="0.2">
      <c r="E70" s="1167"/>
      <c r="F70" s="1167"/>
    </row>
    <row r="71" spans="5:10" ht="15" x14ac:dyDescent="0.2">
      <c r="E71" s="1167"/>
      <c r="F71" s="1167"/>
    </row>
    <row r="72" spans="5:10" ht="15" x14ac:dyDescent="0.2">
      <c r="E72" s="1167"/>
      <c r="F72" s="1167"/>
    </row>
    <row r="73" spans="5:10" ht="15" x14ac:dyDescent="0.2">
      <c r="E73" s="1167"/>
      <c r="F73" s="1167"/>
    </row>
    <row r="74" spans="5:10" ht="15" x14ac:dyDescent="0.2">
      <c r="E74" s="1167"/>
      <c r="F74" s="1167"/>
    </row>
    <row r="75" spans="5:10" ht="15.75" customHeight="1" x14ac:dyDescent="0.2"/>
  </sheetData>
  <sheetProtection sheet="1" objects="1" scenarios="1"/>
  <protectedRanges>
    <protectedRange sqref="K6:O6" name="Scenario Names"/>
    <protectedRange sqref="D62 F62:O62 M7:O61" name="InputsOutputs"/>
  </protectedRanges>
  <mergeCells count="14">
    <mergeCell ref="E74:F74"/>
    <mergeCell ref="E71:F71"/>
    <mergeCell ref="E72:F72"/>
    <mergeCell ref="E73:F73"/>
    <mergeCell ref="E69:F69"/>
    <mergeCell ref="E70:F70"/>
    <mergeCell ref="B3:J3"/>
    <mergeCell ref="F5:J5"/>
    <mergeCell ref="B5:D5"/>
    <mergeCell ref="E68:F68"/>
    <mergeCell ref="B64:C64"/>
    <mergeCell ref="D64:E64"/>
    <mergeCell ref="E66:F66"/>
    <mergeCell ref="E67:F67"/>
  </mergeCells>
  <conditionalFormatting sqref="B8:C8">
    <cfRule type="expression" dxfId="17" priority="39">
      <formula>$D$8="Yes"</formula>
    </cfRule>
  </conditionalFormatting>
  <conditionalFormatting sqref="B13:C13">
    <cfRule type="expression" dxfId="16" priority="33">
      <formula>#REF!="Solar Thermal Electric"</formula>
    </cfRule>
  </conditionalFormatting>
  <conditionalFormatting sqref="D8">
    <cfRule type="expression" dxfId="15" priority="42">
      <formula>D8="Yes"</formula>
    </cfRule>
  </conditionalFormatting>
  <conditionalFormatting sqref="F8:L8">
    <cfRule type="expression" dxfId="14" priority="1">
      <formula>F8="Yes"</formula>
    </cfRule>
  </conditionalFormatting>
  <pageMargins left="0.7" right="0.7" top="0.75" bottom="0.75" header="0.3" footer="0.3"/>
  <pageSetup orientation="portrait" horizontalDpi="4294967293" verticalDpi="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82477-2E5E-420C-8A27-AFEBD23F4412}">
  <sheetPr codeName="Sheet3"/>
  <dimension ref="A70"/>
  <sheetViews>
    <sheetView workbookViewId="0"/>
  </sheetViews>
  <sheetFormatPr defaultColWidth="9.140625" defaultRowHeight="15" x14ac:dyDescent="0.25"/>
  <cols>
    <col min="1" max="16384" width="9.140625" style="436"/>
  </cols>
  <sheetData>
    <row r="70" spans="1:1" x14ac:dyDescent="0.25">
      <c r="A70" s="436" t="s">
        <v>783</v>
      </c>
    </row>
  </sheetData>
  <sheetProtection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1"/>
  <dimension ref="B1:V42"/>
  <sheetViews>
    <sheetView workbookViewId="0"/>
  </sheetViews>
  <sheetFormatPr defaultColWidth="8.85546875" defaultRowHeight="14.25" x14ac:dyDescent="0.2"/>
  <cols>
    <col min="1" max="1" width="2.42578125" style="108" customWidth="1"/>
    <col min="2" max="2" width="9.7109375" style="108" customWidth="1"/>
    <col min="3" max="3" width="15" style="108" customWidth="1"/>
    <col min="4" max="4" width="12.85546875" style="108" customWidth="1"/>
    <col min="5" max="5" width="13.7109375" style="108" customWidth="1"/>
    <col min="6" max="6" width="14.7109375" style="108" customWidth="1"/>
    <col min="7" max="7" width="14.5703125" style="109" customWidth="1"/>
    <col min="8" max="8" width="12.42578125" style="108" customWidth="1"/>
    <col min="9" max="10" width="15.140625" style="108" bestFit="1" customWidth="1"/>
    <col min="11" max="11" width="15.85546875" style="108" customWidth="1"/>
    <col min="12" max="12" width="14.42578125" style="108" customWidth="1"/>
    <col min="13" max="13" width="15.7109375" style="108" customWidth="1"/>
    <col min="14" max="14" width="16.42578125" style="108" customWidth="1"/>
    <col min="15" max="15" width="11.42578125" style="108" customWidth="1"/>
    <col min="16" max="16" width="11.140625" style="108" customWidth="1"/>
    <col min="17" max="17" width="9.140625" style="108"/>
    <col min="18" max="18" width="24.85546875" style="108" bestFit="1" customWidth="1"/>
    <col min="19" max="19" width="29.28515625" style="108" bestFit="1" customWidth="1"/>
    <col min="20" max="20" width="18.7109375" style="108" customWidth="1"/>
    <col min="21" max="21" width="15.28515625" style="108" customWidth="1"/>
    <col min="22" max="22" width="12.85546875" style="108" customWidth="1"/>
    <col min="23" max="235" width="9.140625" style="108"/>
    <col min="236" max="236" width="21.42578125" style="108" customWidth="1"/>
    <col min="237" max="237" width="16.42578125" style="108" customWidth="1"/>
    <col min="238" max="238" width="18" style="108" customWidth="1"/>
    <col min="239" max="239" width="23.7109375" style="108" customWidth="1"/>
    <col min="240" max="240" width="26" style="108" customWidth="1"/>
    <col min="241" max="241" width="21.42578125" style="108" customWidth="1"/>
    <col min="242" max="242" width="20.85546875" style="108" customWidth="1"/>
    <col min="243" max="243" width="0" style="108" hidden="1" customWidth="1"/>
    <col min="244" max="491" width="9.140625" style="108"/>
    <col min="492" max="492" width="21.42578125" style="108" customWidth="1"/>
    <col min="493" max="493" width="16.42578125" style="108" customWidth="1"/>
    <col min="494" max="494" width="18" style="108" customWidth="1"/>
    <col min="495" max="495" width="23.7109375" style="108" customWidth="1"/>
    <col min="496" max="496" width="26" style="108" customWidth="1"/>
    <col min="497" max="497" width="21.42578125" style="108" customWidth="1"/>
    <col min="498" max="498" width="20.85546875" style="108" customWidth="1"/>
    <col min="499" max="499" width="0" style="108" hidden="1" customWidth="1"/>
    <col min="500" max="747" width="9.140625" style="108"/>
    <col min="748" max="748" width="21.42578125" style="108" customWidth="1"/>
    <col min="749" max="749" width="16.42578125" style="108" customWidth="1"/>
    <col min="750" max="750" width="18" style="108" customWidth="1"/>
    <col min="751" max="751" width="23.7109375" style="108" customWidth="1"/>
    <col min="752" max="752" width="26" style="108" customWidth="1"/>
    <col min="753" max="753" width="21.42578125" style="108" customWidth="1"/>
    <col min="754" max="754" width="20.85546875" style="108" customWidth="1"/>
    <col min="755" max="755" width="0" style="108" hidden="1" customWidth="1"/>
    <col min="756" max="1003" width="9.140625" style="108"/>
    <col min="1004" max="1004" width="21.42578125" style="108" customWidth="1"/>
    <col min="1005" max="1005" width="16.42578125" style="108" customWidth="1"/>
    <col min="1006" max="1006" width="18" style="108" customWidth="1"/>
    <col min="1007" max="1007" width="23.7109375" style="108" customWidth="1"/>
    <col min="1008" max="1008" width="26" style="108" customWidth="1"/>
    <col min="1009" max="1009" width="21.42578125" style="108" customWidth="1"/>
    <col min="1010" max="1010" width="20.85546875" style="108" customWidth="1"/>
    <col min="1011" max="1011" width="0" style="108" hidden="1" customWidth="1"/>
    <col min="1012" max="1259" width="9.140625" style="108"/>
    <col min="1260" max="1260" width="21.42578125" style="108" customWidth="1"/>
    <col min="1261" max="1261" width="16.42578125" style="108" customWidth="1"/>
    <col min="1262" max="1262" width="18" style="108" customWidth="1"/>
    <col min="1263" max="1263" width="23.7109375" style="108" customWidth="1"/>
    <col min="1264" max="1264" width="26" style="108" customWidth="1"/>
    <col min="1265" max="1265" width="21.42578125" style="108" customWidth="1"/>
    <col min="1266" max="1266" width="20.85546875" style="108" customWidth="1"/>
    <col min="1267" max="1267" width="0" style="108" hidden="1" customWidth="1"/>
    <col min="1268" max="1515" width="9.140625" style="108"/>
    <col min="1516" max="1516" width="21.42578125" style="108" customWidth="1"/>
    <col min="1517" max="1517" width="16.42578125" style="108" customWidth="1"/>
    <col min="1518" max="1518" width="18" style="108" customWidth="1"/>
    <col min="1519" max="1519" width="23.7109375" style="108" customWidth="1"/>
    <col min="1520" max="1520" width="26" style="108" customWidth="1"/>
    <col min="1521" max="1521" width="21.42578125" style="108" customWidth="1"/>
    <col min="1522" max="1522" width="20.85546875" style="108" customWidth="1"/>
    <col min="1523" max="1523" width="0" style="108" hidden="1" customWidth="1"/>
    <col min="1524" max="1771" width="9.140625" style="108"/>
    <col min="1772" max="1772" width="21.42578125" style="108" customWidth="1"/>
    <col min="1773" max="1773" width="16.42578125" style="108" customWidth="1"/>
    <col min="1774" max="1774" width="18" style="108" customWidth="1"/>
    <col min="1775" max="1775" width="23.7109375" style="108" customWidth="1"/>
    <col min="1776" max="1776" width="26" style="108" customWidth="1"/>
    <col min="1777" max="1777" width="21.42578125" style="108" customWidth="1"/>
    <col min="1778" max="1778" width="20.85546875" style="108" customWidth="1"/>
    <col min="1779" max="1779" width="0" style="108" hidden="1" customWidth="1"/>
    <col min="1780" max="2027" width="9.140625" style="108"/>
    <col min="2028" max="2028" width="21.42578125" style="108" customWidth="1"/>
    <col min="2029" max="2029" width="16.42578125" style="108" customWidth="1"/>
    <col min="2030" max="2030" width="18" style="108" customWidth="1"/>
    <col min="2031" max="2031" width="23.7109375" style="108" customWidth="1"/>
    <col min="2032" max="2032" width="26" style="108" customWidth="1"/>
    <col min="2033" max="2033" width="21.42578125" style="108" customWidth="1"/>
    <col min="2034" max="2034" width="20.85546875" style="108" customWidth="1"/>
    <col min="2035" max="2035" width="0" style="108" hidden="1" customWidth="1"/>
    <col min="2036" max="2283" width="9.140625" style="108"/>
    <col min="2284" max="2284" width="21.42578125" style="108" customWidth="1"/>
    <col min="2285" max="2285" width="16.42578125" style="108" customWidth="1"/>
    <col min="2286" max="2286" width="18" style="108" customWidth="1"/>
    <col min="2287" max="2287" width="23.7109375" style="108" customWidth="1"/>
    <col min="2288" max="2288" width="26" style="108" customWidth="1"/>
    <col min="2289" max="2289" width="21.42578125" style="108" customWidth="1"/>
    <col min="2290" max="2290" width="20.85546875" style="108" customWidth="1"/>
    <col min="2291" max="2291" width="0" style="108" hidden="1" customWidth="1"/>
    <col min="2292" max="2539" width="9.140625" style="108"/>
    <col min="2540" max="2540" width="21.42578125" style="108" customWidth="1"/>
    <col min="2541" max="2541" width="16.42578125" style="108" customWidth="1"/>
    <col min="2542" max="2542" width="18" style="108" customWidth="1"/>
    <col min="2543" max="2543" width="23.7109375" style="108" customWidth="1"/>
    <col min="2544" max="2544" width="26" style="108" customWidth="1"/>
    <col min="2545" max="2545" width="21.42578125" style="108" customWidth="1"/>
    <col min="2546" max="2546" width="20.85546875" style="108" customWidth="1"/>
    <col min="2547" max="2547" width="0" style="108" hidden="1" customWidth="1"/>
    <col min="2548" max="2795" width="9.140625" style="108"/>
    <col min="2796" max="2796" width="21.42578125" style="108" customWidth="1"/>
    <col min="2797" max="2797" width="16.42578125" style="108" customWidth="1"/>
    <col min="2798" max="2798" width="18" style="108" customWidth="1"/>
    <col min="2799" max="2799" width="23.7109375" style="108" customWidth="1"/>
    <col min="2800" max="2800" width="26" style="108" customWidth="1"/>
    <col min="2801" max="2801" width="21.42578125" style="108" customWidth="1"/>
    <col min="2802" max="2802" width="20.85546875" style="108" customWidth="1"/>
    <col min="2803" max="2803" width="0" style="108" hidden="1" customWidth="1"/>
    <col min="2804" max="3051" width="9.140625" style="108"/>
    <col min="3052" max="3052" width="21.42578125" style="108" customWidth="1"/>
    <col min="3053" max="3053" width="16.42578125" style="108" customWidth="1"/>
    <col min="3054" max="3054" width="18" style="108" customWidth="1"/>
    <col min="3055" max="3055" width="23.7109375" style="108" customWidth="1"/>
    <col min="3056" max="3056" width="26" style="108" customWidth="1"/>
    <col min="3057" max="3057" width="21.42578125" style="108" customWidth="1"/>
    <col min="3058" max="3058" width="20.85546875" style="108" customWidth="1"/>
    <col min="3059" max="3059" width="0" style="108" hidden="1" customWidth="1"/>
    <col min="3060" max="3307" width="9.140625" style="108"/>
    <col min="3308" max="3308" width="21.42578125" style="108" customWidth="1"/>
    <col min="3309" max="3309" width="16.42578125" style="108" customWidth="1"/>
    <col min="3310" max="3310" width="18" style="108" customWidth="1"/>
    <col min="3311" max="3311" width="23.7109375" style="108" customWidth="1"/>
    <col min="3312" max="3312" width="26" style="108" customWidth="1"/>
    <col min="3313" max="3313" width="21.42578125" style="108" customWidth="1"/>
    <col min="3314" max="3314" width="20.85546875" style="108" customWidth="1"/>
    <col min="3315" max="3315" width="0" style="108" hidden="1" customWidth="1"/>
    <col min="3316" max="3563" width="9.140625" style="108"/>
    <col min="3564" max="3564" width="21.42578125" style="108" customWidth="1"/>
    <col min="3565" max="3565" width="16.42578125" style="108" customWidth="1"/>
    <col min="3566" max="3566" width="18" style="108" customWidth="1"/>
    <col min="3567" max="3567" width="23.7109375" style="108" customWidth="1"/>
    <col min="3568" max="3568" width="26" style="108" customWidth="1"/>
    <col min="3569" max="3569" width="21.42578125" style="108" customWidth="1"/>
    <col min="3570" max="3570" width="20.85546875" style="108" customWidth="1"/>
    <col min="3571" max="3571" width="0" style="108" hidden="1" customWidth="1"/>
    <col min="3572" max="3819" width="9.140625" style="108"/>
    <col min="3820" max="3820" width="21.42578125" style="108" customWidth="1"/>
    <col min="3821" max="3821" width="16.42578125" style="108" customWidth="1"/>
    <col min="3822" max="3822" width="18" style="108" customWidth="1"/>
    <col min="3823" max="3823" width="23.7109375" style="108" customWidth="1"/>
    <col min="3824" max="3824" width="26" style="108" customWidth="1"/>
    <col min="3825" max="3825" width="21.42578125" style="108" customWidth="1"/>
    <col min="3826" max="3826" width="20.85546875" style="108" customWidth="1"/>
    <col min="3827" max="3827" width="0" style="108" hidden="1" customWidth="1"/>
    <col min="3828" max="4075" width="9.140625" style="108"/>
    <col min="4076" max="4076" width="21.42578125" style="108" customWidth="1"/>
    <col min="4077" max="4077" width="16.42578125" style="108" customWidth="1"/>
    <col min="4078" max="4078" width="18" style="108" customWidth="1"/>
    <col min="4079" max="4079" width="23.7109375" style="108" customWidth="1"/>
    <col min="4080" max="4080" width="26" style="108" customWidth="1"/>
    <col min="4081" max="4081" width="21.42578125" style="108" customWidth="1"/>
    <col min="4082" max="4082" width="20.85546875" style="108" customWidth="1"/>
    <col min="4083" max="4083" width="0" style="108" hidden="1" customWidth="1"/>
    <col min="4084" max="4331" width="9.140625" style="108"/>
    <col min="4332" max="4332" width="21.42578125" style="108" customWidth="1"/>
    <col min="4333" max="4333" width="16.42578125" style="108" customWidth="1"/>
    <col min="4334" max="4334" width="18" style="108" customWidth="1"/>
    <col min="4335" max="4335" width="23.7109375" style="108" customWidth="1"/>
    <col min="4336" max="4336" width="26" style="108" customWidth="1"/>
    <col min="4337" max="4337" width="21.42578125" style="108" customWidth="1"/>
    <col min="4338" max="4338" width="20.85546875" style="108" customWidth="1"/>
    <col min="4339" max="4339" width="0" style="108" hidden="1" customWidth="1"/>
    <col min="4340" max="4587" width="9.140625" style="108"/>
    <col min="4588" max="4588" width="21.42578125" style="108" customWidth="1"/>
    <col min="4589" max="4589" width="16.42578125" style="108" customWidth="1"/>
    <col min="4590" max="4590" width="18" style="108" customWidth="1"/>
    <col min="4591" max="4591" width="23.7109375" style="108" customWidth="1"/>
    <col min="4592" max="4592" width="26" style="108" customWidth="1"/>
    <col min="4593" max="4593" width="21.42578125" style="108" customWidth="1"/>
    <col min="4594" max="4594" width="20.85546875" style="108" customWidth="1"/>
    <col min="4595" max="4595" width="0" style="108" hidden="1" customWidth="1"/>
    <col min="4596" max="4843" width="9.140625" style="108"/>
    <col min="4844" max="4844" width="21.42578125" style="108" customWidth="1"/>
    <col min="4845" max="4845" width="16.42578125" style="108" customWidth="1"/>
    <col min="4846" max="4846" width="18" style="108" customWidth="1"/>
    <col min="4847" max="4847" width="23.7109375" style="108" customWidth="1"/>
    <col min="4848" max="4848" width="26" style="108" customWidth="1"/>
    <col min="4849" max="4849" width="21.42578125" style="108" customWidth="1"/>
    <col min="4850" max="4850" width="20.85546875" style="108" customWidth="1"/>
    <col min="4851" max="4851" width="0" style="108" hidden="1" customWidth="1"/>
    <col min="4852" max="5099" width="9.140625" style="108"/>
    <col min="5100" max="5100" width="21.42578125" style="108" customWidth="1"/>
    <col min="5101" max="5101" width="16.42578125" style="108" customWidth="1"/>
    <col min="5102" max="5102" width="18" style="108" customWidth="1"/>
    <col min="5103" max="5103" width="23.7109375" style="108" customWidth="1"/>
    <col min="5104" max="5104" width="26" style="108" customWidth="1"/>
    <col min="5105" max="5105" width="21.42578125" style="108" customWidth="1"/>
    <col min="5106" max="5106" width="20.85546875" style="108" customWidth="1"/>
    <col min="5107" max="5107" width="0" style="108" hidden="1" customWidth="1"/>
    <col min="5108" max="5355" width="9.140625" style="108"/>
    <col min="5356" max="5356" width="21.42578125" style="108" customWidth="1"/>
    <col min="5357" max="5357" width="16.42578125" style="108" customWidth="1"/>
    <col min="5358" max="5358" width="18" style="108" customWidth="1"/>
    <col min="5359" max="5359" width="23.7109375" style="108" customWidth="1"/>
    <col min="5360" max="5360" width="26" style="108" customWidth="1"/>
    <col min="5361" max="5361" width="21.42578125" style="108" customWidth="1"/>
    <col min="5362" max="5362" width="20.85546875" style="108" customWidth="1"/>
    <col min="5363" max="5363" width="0" style="108" hidden="1" customWidth="1"/>
    <col min="5364" max="5611" width="9.140625" style="108"/>
    <col min="5612" max="5612" width="21.42578125" style="108" customWidth="1"/>
    <col min="5613" max="5613" width="16.42578125" style="108" customWidth="1"/>
    <col min="5614" max="5614" width="18" style="108" customWidth="1"/>
    <col min="5615" max="5615" width="23.7109375" style="108" customWidth="1"/>
    <col min="5616" max="5616" width="26" style="108" customWidth="1"/>
    <col min="5617" max="5617" width="21.42578125" style="108" customWidth="1"/>
    <col min="5618" max="5618" width="20.85546875" style="108" customWidth="1"/>
    <col min="5619" max="5619" width="0" style="108" hidden="1" customWidth="1"/>
    <col min="5620" max="5867" width="9.140625" style="108"/>
    <col min="5868" max="5868" width="21.42578125" style="108" customWidth="1"/>
    <col min="5869" max="5869" width="16.42578125" style="108" customWidth="1"/>
    <col min="5870" max="5870" width="18" style="108" customWidth="1"/>
    <col min="5871" max="5871" width="23.7109375" style="108" customWidth="1"/>
    <col min="5872" max="5872" width="26" style="108" customWidth="1"/>
    <col min="5873" max="5873" width="21.42578125" style="108" customWidth="1"/>
    <col min="5874" max="5874" width="20.85546875" style="108" customWidth="1"/>
    <col min="5875" max="5875" width="0" style="108" hidden="1" customWidth="1"/>
    <col min="5876" max="6123" width="9.140625" style="108"/>
    <col min="6124" max="6124" width="21.42578125" style="108" customWidth="1"/>
    <col min="6125" max="6125" width="16.42578125" style="108" customWidth="1"/>
    <col min="6126" max="6126" width="18" style="108" customWidth="1"/>
    <col min="6127" max="6127" width="23.7109375" style="108" customWidth="1"/>
    <col min="6128" max="6128" width="26" style="108" customWidth="1"/>
    <col min="6129" max="6129" width="21.42578125" style="108" customWidth="1"/>
    <col min="6130" max="6130" width="20.85546875" style="108" customWidth="1"/>
    <col min="6131" max="6131" width="0" style="108" hidden="1" customWidth="1"/>
    <col min="6132" max="6379" width="9.140625" style="108"/>
    <col min="6380" max="6380" width="21.42578125" style="108" customWidth="1"/>
    <col min="6381" max="6381" width="16.42578125" style="108" customWidth="1"/>
    <col min="6382" max="6382" width="18" style="108" customWidth="1"/>
    <col min="6383" max="6383" width="23.7109375" style="108" customWidth="1"/>
    <col min="6384" max="6384" width="26" style="108" customWidth="1"/>
    <col min="6385" max="6385" width="21.42578125" style="108" customWidth="1"/>
    <col min="6386" max="6386" width="20.85546875" style="108" customWidth="1"/>
    <col min="6387" max="6387" width="0" style="108" hidden="1" customWidth="1"/>
    <col min="6388" max="6635" width="9.140625" style="108"/>
    <col min="6636" max="6636" width="21.42578125" style="108" customWidth="1"/>
    <col min="6637" max="6637" width="16.42578125" style="108" customWidth="1"/>
    <col min="6638" max="6638" width="18" style="108" customWidth="1"/>
    <col min="6639" max="6639" width="23.7109375" style="108" customWidth="1"/>
    <col min="6640" max="6640" width="26" style="108" customWidth="1"/>
    <col min="6641" max="6641" width="21.42578125" style="108" customWidth="1"/>
    <col min="6642" max="6642" width="20.85546875" style="108" customWidth="1"/>
    <col min="6643" max="6643" width="0" style="108" hidden="1" customWidth="1"/>
    <col min="6644" max="6891" width="9.140625" style="108"/>
    <col min="6892" max="6892" width="21.42578125" style="108" customWidth="1"/>
    <col min="6893" max="6893" width="16.42578125" style="108" customWidth="1"/>
    <col min="6894" max="6894" width="18" style="108" customWidth="1"/>
    <col min="6895" max="6895" width="23.7109375" style="108" customWidth="1"/>
    <col min="6896" max="6896" width="26" style="108" customWidth="1"/>
    <col min="6897" max="6897" width="21.42578125" style="108" customWidth="1"/>
    <col min="6898" max="6898" width="20.85546875" style="108" customWidth="1"/>
    <col min="6899" max="6899" width="0" style="108" hidden="1" customWidth="1"/>
    <col min="6900" max="7147" width="9.140625" style="108"/>
    <col min="7148" max="7148" width="21.42578125" style="108" customWidth="1"/>
    <col min="7149" max="7149" width="16.42578125" style="108" customWidth="1"/>
    <col min="7150" max="7150" width="18" style="108" customWidth="1"/>
    <col min="7151" max="7151" width="23.7109375" style="108" customWidth="1"/>
    <col min="7152" max="7152" width="26" style="108" customWidth="1"/>
    <col min="7153" max="7153" width="21.42578125" style="108" customWidth="1"/>
    <col min="7154" max="7154" width="20.85546875" style="108" customWidth="1"/>
    <col min="7155" max="7155" width="0" style="108" hidden="1" customWidth="1"/>
    <col min="7156" max="7403" width="9.140625" style="108"/>
    <col min="7404" max="7404" width="21.42578125" style="108" customWidth="1"/>
    <col min="7405" max="7405" width="16.42578125" style="108" customWidth="1"/>
    <col min="7406" max="7406" width="18" style="108" customWidth="1"/>
    <col min="7407" max="7407" width="23.7109375" style="108" customWidth="1"/>
    <col min="7408" max="7408" width="26" style="108" customWidth="1"/>
    <col min="7409" max="7409" width="21.42578125" style="108" customWidth="1"/>
    <col min="7410" max="7410" width="20.85546875" style="108" customWidth="1"/>
    <col min="7411" max="7411" width="0" style="108" hidden="1" customWidth="1"/>
    <col min="7412" max="7659" width="9.140625" style="108"/>
    <col min="7660" max="7660" width="21.42578125" style="108" customWidth="1"/>
    <col min="7661" max="7661" width="16.42578125" style="108" customWidth="1"/>
    <col min="7662" max="7662" width="18" style="108" customWidth="1"/>
    <col min="7663" max="7663" width="23.7109375" style="108" customWidth="1"/>
    <col min="7664" max="7664" width="26" style="108" customWidth="1"/>
    <col min="7665" max="7665" width="21.42578125" style="108" customWidth="1"/>
    <col min="7666" max="7666" width="20.85546875" style="108" customWidth="1"/>
    <col min="7667" max="7667" width="0" style="108" hidden="1" customWidth="1"/>
    <col min="7668" max="7915" width="9.140625" style="108"/>
    <col min="7916" max="7916" width="21.42578125" style="108" customWidth="1"/>
    <col min="7917" max="7917" width="16.42578125" style="108" customWidth="1"/>
    <col min="7918" max="7918" width="18" style="108" customWidth="1"/>
    <col min="7919" max="7919" width="23.7109375" style="108" customWidth="1"/>
    <col min="7920" max="7920" width="26" style="108" customWidth="1"/>
    <col min="7921" max="7921" width="21.42578125" style="108" customWidth="1"/>
    <col min="7922" max="7922" width="20.85546875" style="108" customWidth="1"/>
    <col min="7923" max="7923" width="0" style="108" hidden="1" customWidth="1"/>
    <col min="7924" max="8171" width="9.140625" style="108"/>
    <col min="8172" max="8172" width="21.42578125" style="108" customWidth="1"/>
    <col min="8173" max="8173" width="16.42578125" style="108" customWidth="1"/>
    <col min="8174" max="8174" width="18" style="108" customWidth="1"/>
    <col min="8175" max="8175" width="23.7109375" style="108" customWidth="1"/>
    <col min="8176" max="8176" width="26" style="108" customWidth="1"/>
    <col min="8177" max="8177" width="21.42578125" style="108" customWidth="1"/>
    <col min="8178" max="8178" width="20.85546875" style="108" customWidth="1"/>
    <col min="8179" max="8179" width="0" style="108" hidden="1" customWidth="1"/>
    <col min="8180" max="8427" width="9.140625" style="108"/>
    <col min="8428" max="8428" width="21.42578125" style="108" customWidth="1"/>
    <col min="8429" max="8429" width="16.42578125" style="108" customWidth="1"/>
    <col min="8430" max="8430" width="18" style="108" customWidth="1"/>
    <col min="8431" max="8431" width="23.7109375" style="108" customWidth="1"/>
    <col min="8432" max="8432" width="26" style="108" customWidth="1"/>
    <col min="8433" max="8433" width="21.42578125" style="108" customWidth="1"/>
    <col min="8434" max="8434" width="20.85546875" style="108" customWidth="1"/>
    <col min="8435" max="8435" width="0" style="108" hidden="1" customWidth="1"/>
    <col min="8436" max="8683" width="9.140625" style="108"/>
    <col min="8684" max="8684" width="21.42578125" style="108" customWidth="1"/>
    <col min="8685" max="8685" width="16.42578125" style="108" customWidth="1"/>
    <col min="8686" max="8686" width="18" style="108" customWidth="1"/>
    <col min="8687" max="8687" width="23.7109375" style="108" customWidth="1"/>
    <col min="8688" max="8688" width="26" style="108" customWidth="1"/>
    <col min="8689" max="8689" width="21.42578125" style="108" customWidth="1"/>
    <col min="8690" max="8690" width="20.85546875" style="108" customWidth="1"/>
    <col min="8691" max="8691" width="0" style="108" hidden="1" customWidth="1"/>
    <col min="8692" max="8939" width="9.140625" style="108"/>
    <col min="8940" max="8940" width="21.42578125" style="108" customWidth="1"/>
    <col min="8941" max="8941" width="16.42578125" style="108" customWidth="1"/>
    <col min="8942" max="8942" width="18" style="108" customWidth="1"/>
    <col min="8943" max="8943" width="23.7109375" style="108" customWidth="1"/>
    <col min="8944" max="8944" width="26" style="108" customWidth="1"/>
    <col min="8945" max="8945" width="21.42578125" style="108" customWidth="1"/>
    <col min="8946" max="8946" width="20.85546875" style="108" customWidth="1"/>
    <col min="8947" max="8947" width="0" style="108" hidden="1" customWidth="1"/>
    <col min="8948" max="9195" width="9.140625" style="108"/>
    <col min="9196" max="9196" width="21.42578125" style="108" customWidth="1"/>
    <col min="9197" max="9197" width="16.42578125" style="108" customWidth="1"/>
    <col min="9198" max="9198" width="18" style="108" customWidth="1"/>
    <col min="9199" max="9199" width="23.7109375" style="108" customWidth="1"/>
    <col min="9200" max="9200" width="26" style="108" customWidth="1"/>
    <col min="9201" max="9201" width="21.42578125" style="108" customWidth="1"/>
    <col min="9202" max="9202" width="20.85546875" style="108" customWidth="1"/>
    <col min="9203" max="9203" width="0" style="108" hidden="1" customWidth="1"/>
    <col min="9204" max="9451" width="9.140625" style="108"/>
    <col min="9452" max="9452" width="21.42578125" style="108" customWidth="1"/>
    <col min="9453" max="9453" width="16.42578125" style="108" customWidth="1"/>
    <col min="9454" max="9454" width="18" style="108" customWidth="1"/>
    <col min="9455" max="9455" width="23.7109375" style="108" customWidth="1"/>
    <col min="9456" max="9456" width="26" style="108" customWidth="1"/>
    <col min="9457" max="9457" width="21.42578125" style="108" customWidth="1"/>
    <col min="9458" max="9458" width="20.85546875" style="108" customWidth="1"/>
    <col min="9459" max="9459" width="0" style="108" hidden="1" customWidth="1"/>
    <col min="9460" max="9707" width="9.140625" style="108"/>
    <col min="9708" max="9708" width="21.42578125" style="108" customWidth="1"/>
    <col min="9709" max="9709" width="16.42578125" style="108" customWidth="1"/>
    <col min="9710" max="9710" width="18" style="108" customWidth="1"/>
    <col min="9711" max="9711" width="23.7109375" style="108" customWidth="1"/>
    <col min="9712" max="9712" width="26" style="108" customWidth="1"/>
    <col min="9713" max="9713" width="21.42578125" style="108" customWidth="1"/>
    <col min="9714" max="9714" width="20.85546875" style="108" customWidth="1"/>
    <col min="9715" max="9715" width="0" style="108" hidden="1" customWidth="1"/>
    <col min="9716" max="9963" width="9.140625" style="108"/>
    <col min="9964" max="9964" width="21.42578125" style="108" customWidth="1"/>
    <col min="9965" max="9965" width="16.42578125" style="108" customWidth="1"/>
    <col min="9966" max="9966" width="18" style="108" customWidth="1"/>
    <col min="9967" max="9967" width="23.7109375" style="108" customWidth="1"/>
    <col min="9968" max="9968" width="26" style="108" customWidth="1"/>
    <col min="9969" max="9969" width="21.42578125" style="108" customWidth="1"/>
    <col min="9970" max="9970" width="20.85546875" style="108" customWidth="1"/>
    <col min="9971" max="9971" width="0" style="108" hidden="1" customWidth="1"/>
    <col min="9972" max="10219" width="9.140625" style="108"/>
    <col min="10220" max="10220" width="21.42578125" style="108" customWidth="1"/>
    <col min="10221" max="10221" width="16.42578125" style="108" customWidth="1"/>
    <col min="10222" max="10222" width="18" style="108" customWidth="1"/>
    <col min="10223" max="10223" width="23.7109375" style="108" customWidth="1"/>
    <col min="10224" max="10224" width="26" style="108" customWidth="1"/>
    <col min="10225" max="10225" width="21.42578125" style="108" customWidth="1"/>
    <col min="10226" max="10226" width="20.85546875" style="108" customWidth="1"/>
    <col min="10227" max="10227" width="0" style="108" hidden="1" customWidth="1"/>
    <col min="10228" max="10475" width="9.140625" style="108"/>
    <col min="10476" max="10476" width="21.42578125" style="108" customWidth="1"/>
    <col min="10477" max="10477" width="16.42578125" style="108" customWidth="1"/>
    <col min="10478" max="10478" width="18" style="108" customWidth="1"/>
    <col min="10479" max="10479" width="23.7109375" style="108" customWidth="1"/>
    <col min="10480" max="10480" width="26" style="108" customWidth="1"/>
    <col min="10481" max="10481" width="21.42578125" style="108" customWidth="1"/>
    <col min="10482" max="10482" width="20.85546875" style="108" customWidth="1"/>
    <col min="10483" max="10483" width="0" style="108" hidden="1" customWidth="1"/>
    <col min="10484" max="10731" width="9.140625" style="108"/>
    <col min="10732" max="10732" width="21.42578125" style="108" customWidth="1"/>
    <col min="10733" max="10733" width="16.42578125" style="108" customWidth="1"/>
    <col min="10734" max="10734" width="18" style="108" customWidth="1"/>
    <col min="10735" max="10735" width="23.7109375" style="108" customWidth="1"/>
    <col min="10736" max="10736" width="26" style="108" customWidth="1"/>
    <col min="10737" max="10737" width="21.42578125" style="108" customWidth="1"/>
    <col min="10738" max="10738" width="20.85546875" style="108" customWidth="1"/>
    <col min="10739" max="10739" width="0" style="108" hidden="1" customWidth="1"/>
    <col min="10740" max="10987" width="9.140625" style="108"/>
    <col min="10988" max="10988" width="21.42578125" style="108" customWidth="1"/>
    <col min="10989" max="10989" width="16.42578125" style="108" customWidth="1"/>
    <col min="10990" max="10990" width="18" style="108" customWidth="1"/>
    <col min="10991" max="10991" width="23.7109375" style="108" customWidth="1"/>
    <col min="10992" max="10992" width="26" style="108" customWidth="1"/>
    <col min="10993" max="10993" width="21.42578125" style="108" customWidth="1"/>
    <col min="10994" max="10994" width="20.85546875" style="108" customWidth="1"/>
    <col min="10995" max="10995" width="0" style="108" hidden="1" customWidth="1"/>
    <col min="10996" max="11243" width="9.140625" style="108"/>
    <col min="11244" max="11244" width="21.42578125" style="108" customWidth="1"/>
    <col min="11245" max="11245" width="16.42578125" style="108" customWidth="1"/>
    <col min="11246" max="11246" width="18" style="108" customWidth="1"/>
    <col min="11247" max="11247" width="23.7109375" style="108" customWidth="1"/>
    <col min="11248" max="11248" width="26" style="108" customWidth="1"/>
    <col min="11249" max="11249" width="21.42578125" style="108" customWidth="1"/>
    <col min="11250" max="11250" width="20.85546875" style="108" customWidth="1"/>
    <col min="11251" max="11251" width="0" style="108" hidden="1" customWidth="1"/>
    <col min="11252" max="11499" width="9.140625" style="108"/>
    <col min="11500" max="11500" width="21.42578125" style="108" customWidth="1"/>
    <col min="11501" max="11501" width="16.42578125" style="108" customWidth="1"/>
    <col min="11502" max="11502" width="18" style="108" customWidth="1"/>
    <col min="11503" max="11503" width="23.7109375" style="108" customWidth="1"/>
    <col min="11504" max="11504" width="26" style="108" customWidth="1"/>
    <col min="11505" max="11505" width="21.42578125" style="108" customWidth="1"/>
    <col min="11506" max="11506" width="20.85546875" style="108" customWidth="1"/>
    <col min="11507" max="11507" width="0" style="108" hidden="1" customWidth="1"/>
    <col min="11508" max="11755" width="9.140625" style="108"/>
    <col min="11756" max="11756" width="21.42578125" style="108" customWidth="1"/>
    <col min="11757" max="11757" width="16.42578125" style="108" customWidth="1"/>
    <col min="11758" max="11758" width="18" style="108" customWidth="1"/>
    <col min="11759" max="11759" width="23.7109375" style="108" customWidth="1"/>
    <col min="11760" max="11760" width="26" style="108" customWidth="1"/>
    <col min="11761" max="11761" width="21.42578125" style="108" customWidth="1"/>
    <col min="11762" max="11762" width="20.85546875" style="108" customWidth="1"/>
    <col min="11763" max="11763" width="0" style="108" hidden="1" customWidth="1"/>
    <col min="11764" max="12011" width="9.140625" style="108"/>
    <col min="12012" max="12012" width="21.42578125" style="108" customWidth="1"/>
    <col min="12013" max="12013" width="16.42578125" style="108" customWidth="1"/>
    <col min="12014" max="12014" width="18" style="108" customWidth="1"/>
    <col min="12015" max="12015" width="23.7109375" style="108" customWidth="1"/>
    <col min="12016" max="12016" width="26" style="108" customWidth="1"/>
    <col min="12017" max="12017" width="21.42578125" style="108" customWidth="1"/>
    <col min="12018" max="12018" width="20.85546875" style="108" customWidth="1"/>
    <col min="12019" max="12019" width="0" style="108" hidden="1" customWidth="1"/>
    <col min="12020" max="12267" width="9.140625" style="108"/>
    <col min="12268" max="12268" width="21.42578125" style="108" customWidth="1"/>
    <col min="12269" max="12269" width="16.42578125" style="108" customWidth="1"/>
    <col min="12270" max="12270" width="18" style="108" customWidth="1"/>
    <col min="12271" max="12271" width="23.7109375" style="108" customWidth="1"/>
    <col min="12272" max="12272" width="26" style="108" customWidth="1"/>
    <col min="12273" max="12273" width="21.42578125" style="108" customWidth="1"/>
    <col min="12274" max="12274" width="20.85546875" style="108" customWidth="1"/>
    <col min="12275" max="12275" width="0" style="108" hidden="1" customWidth="1"/>
    <col min="12276" max="12523" width="9.140625" style="108"/>
    <col min="12524" max="12524" width="21.42578125" style="108" customWidth="1"/>
    <col min="12525" max="12525" width="16.42578125" style="108" customWidth="1"/>
    <col min="12526" max="12526" width="18" style="108" customWidth="1"/>
    <col min="12527" max="12527" width="23.7109375" style="108" customWidth="1"/>
    <col min="12528" max="12528" width="26" style="108" customWidth="1"/>
    <col min="12529" max="12529" width="21.42578125" style="108" customWidth="1"/>
    <col min="12530" max="12530" width="20.85546875" style="108" customWidth="1"/>
    <col min="12531" max="12531" width="0" style="108" hidden="1" customWidth="1"/>
    <col min="12532" max="12779" width="9.140625" style="108"/>
    <col min="12780" max="12780" width="21.42578125" style="108" customWidth="1"/>
    <col min="12781" max="12781" width="16.42578125" style="108" customWidth="1"/>
    <col min="12782" max="12782" width="18" style="108" customWidth="1"/>
    <col min="12783" max="12783" width="23.7109375" style="108" customWidth="1"/>
    <col min="12784" max="12784" width="26" style="108" customWidth="1"/>
    <col min="12785" max="12785" width="21.42578125" style="108" customWidth="1"/>
    <col min="12786" max="12786" width="20.85546875" style="108" customWidth="1"/>
    <col min="12787" max="12787" width="0" style="108" hidden="1" customWidth="1"/>
    <col min="12788" max="13035" width="9.140625" style="108"/>
    <col min="13036" max="13036" width="21.42578125" style="108" customWidth="1"/>
    <col min="13037" max="13037" width="16.42578125" style="108" customWidth="1"/>
    <col min="13038" max="13038" width="18" style="108" customWidth="1"/>
    <col min="13039" max="13039" width="23.7109375" style="108" customWidth="1"/>
    <col min="13040" max="13040" width="26" style="108" customWidth="1"/>
    <col min="13041" max="13041" width="21.42578125" style="108" customWidth="1"/>
    <col min="13042" max="13042" width="20.85546875" style="108" customWidth="1"/>
    <col min="13043" max="13043" width="0" style="108" hidden="1" customWidth="1"/>
    <col min="13044" max="13291" width="9.140625" style="108"/>
    <col min="13292" max="13292" width="21.42578125" style="108" customWidth="1"/>
    <col min="13293" max="13293" width="16.42578125" style="108" customWidth="1"/>
    <col min="13294" max="13294" width="18" style="108" customWidth="1"/>
    <col min="13295" max="13295" width="23.7109375" style="108" customWidth="1"/>
    <col min="13296" max="13296" width="26" style="108" customWidth="1"/>
    <col min="13297" max="13297" width="21.42578125" style="108" customWidth="1"/>
    <col min="13298" max="13298" width="20.85546875" style="108" customWidth="1"/>
    <col min="13299" max="13299" width="0" style="108" hidden="1" customWidth="1"/>
    <col min="13300" max="13547" width="9.140625" style="108"/>
    <col min="13548" max="13548" width="21.42578125" style="108" customWidth="1"/>
    <col min="13549" max="13549" width="16.42578125" style="108" customWidth="1"/>
    <col min="13550" max="13550" width="18" style="108" customWidth="1"/>
    <col min="13551" max="13551" width="23.7109375" style="108" customWidth="1"/>
    <col min="13552" max="13552" width="26" style="108" customWidth="1"/>
    <col min="13553" max="13553" width="21.42578125" style="108" customWidth="1"/>
    <col min="13554" max="13554" width="20.85546875" style="108" customWidth="1"/>
    <col min="13555" max="13555" width="0" style="108" hidden="1" customWidth="1"/>
    <col min="13556" max="13803" width="9.140625" style="108"/>
    <col min="13804" max="13804" width="21.42578125" style="108" customWidth="1"/>
    <col min="13805" max="13805" width="16.42578125" style="108" customWidth="1"/>
    <col min="13806" max="13806" width="18" style="108" customWidth="1"/>
    <col min="13807" max="13807" width="23.7109375" style="108" customWidth="1"/>
    <col min="13808" max="13808" width="26" style="108" customWidth="1"/>
    <col min="13809" max="13809" width="21.42578125" style="108" customWidth="1"/>
    <col min="13810" max="13810" width="20.85546875" style="108" customWidth="1"/>
    <col min="13811" max="13811" width="0" style="108" hidden="1" customWidth="1"/>
    <col min="13812" max="14059" width="9.140625" style="108"/>
    <col min="14060" max="14060" width="21.42578125" style="108" customWidth="1"/>
    <col min="14061" max="14061" width="16.42578125" style="108" customWidth="1"/>
    <col min="14062" max="14062" width="18" style="108" customWidth="1"/>
    <col min="14063" max="14063" width="23.7109375" style="108" customWidth="1"/>
    <col min="14064" max="14064" width="26" style="108" customWidth="1"/>
    <col min="14065" max="14065" width="21.42578125" style="108" customWidth="1"/>
    <col min="14066" max="14066" width="20.85546875" style="108" customWidth="1"/>
    <col min="14067" max="14067" width="0" style="108" hidden="1" customWidth="1"/>
    <col min="14068" max="14315" width="9.140625" style="108"/>
    <col min="14316" max="14316" width="21.42578125" style="108" customWidth="1"/>
    <col min="14317" max="14317" width="16.42578125" style="108" customWidth="1"/>
    <col min="14318" max="14318" width="18" style="108" customWidth="1"/>
    <col min="14319" max="14319" width="23.7109375" style="108" customWidth="1"/>
    <col min="14320" max="14320" width="26" style="108" customWidth="1"/>
    <col min="14321" max="14321" width="21.42578125" style="108" customWidth="1"/>
    <col min="14322" max="14322" width="20.85546875" style="108" customWidth="1"/>
    <col min="14323" max="14323" width="0" style="108" hidden="1" customWidth="1"/>
    <col min="14324" max="14571" width="9.140625" style="108"/>
    <col min="14572" max="14572" width="21.42578125" style="108" customWidth="1"/>
    <col min="14573" max="14573" width="16.42578125" style="108" customWidth="1"/>
    <col min="14574" max="14574" width="18" style="108" customWidth="1"/>
    <col min="14575" max="14575" width="23.7109375" style="108" customWidth="1"/>
    <col min="14576" max="14576" width="26" style="108" customWidth="1"/>
    <col min="14577" max="14577" width="21.42578125" style="108" customWidth="1"/>
    <col min="14578" max="14578" width="20.85546875" style="108" customWidth="1"/>
    <col min="14579" max="14579" width="0" style="108" hidden="1" customWidth="1"/>
    <col min="14580" max="14827" width="9.140625" style="108"/>
    <col min="14828" max="14828" width="21.42578125" style="108" customWidth="1"/>
    <col min="14829" max="14829" width="16.42578125" style="108" customWidth="1"/>
    <col min="14830" max="14830" width="18" style="108" customWidth="1"/>
    <col min="14831" max="14831" width="23.7109375" style="108" customWidth="1"/>
    <col min="14832" max="14832" width="26" style="108" customWidth="1"/>
    <col min="14833" max="14833" width="21.42578125" style="108" customWidth="1"/>
    <col min="14834" max="14834" width="20.85546875" style="108" customWidth="1"/>
    <col min="14835" max="14835" width="0" style="108" hidden="1" customWidth="1"/>
    <col min="14836" max="15083" width="9.140625" style="108"/>
    <col min="15084" max="15084" width="21.42578125" style="108" customWidth="1"/>
    <col min="15085" max="15085" width="16.42578125" style="108" customWidth="1"/>
    <col min="15086" max="15086" width="18" style="108" customWidth="1"/>
    <col min="15087" max="15087" width="23.7109375" style="108" customWidth="1"/>
    <col min="15088" max="15088" width="26" style="108" customWidth="1"/>
    <col min="15089" max="15089" width="21.42578125" style="108" customWidth="1"/>
    <col min="15090" max="15090" width="20.85546875" style="108" customWidth="1"/>
    <col min="15091" max="15091" width="0" style="108" hidden="1" customWidth="1"/>
    <col min="15092" max="15339" width="9.140625" style="108"/>
    <col min="15340" max="15340" width="21.42578125" style="108" customWidth="1"/>
    <col min="15341" max="15341" width="16.42578125" style="108" customWidth="1"/>
    <col min="15342" max="15342" width="18" style="108" customWidth="1"/>
    <col min="15343" max="15343" width="23.7109375" style="108" customWidth="1"/>
    <col min="15344" max="15344" width="26" style="108" customWidth="1"/>
    <col min="15345" max="15345" width="21.42578125" style="108" customWidth="1"/>
    <col min="15346" max="15346" width="20.85546875" style="108" customWidth="1"/>
    <col min="15347" max="15347" width="0" style="108" hidden="1" customWidth="1"/>
    <col min="15348" max="15595" width="9.140625" style="108"/>
    <col min="15596" max="15596" width="21.42578125" style="108" customWidth="1"/>
    <col min="15597" max="15597" width="16.42578125" style="108" customWidth="1"/>
    <col min="15598" max="15598" width="18" style="108" customWidth="1"/>
    <col min="15599" max="15599" width="23.7109375" style="108" customWidth="1"/>
    <col min="15600" max="15600" width="26" style="108" customWidth="1"/>
    <col min="15601" max="15601" width="21.42578125" style="108" customWidth="1"/>
    <col min="15602" max="15602" width="20.85546875" style="108" customWidth="1"/>
    <col min="15603" max="15603" width="0" style="108" hidden="1" customWidth="1"/>
    <col min="15604" max="15851" width="9.140625" style="108"/>
    <col min="15852" max="15852" width="21.42578125" style="108" customWidth="1"/>
    <col min="15853" max="15853" width="16.42578125" style="108" customWidth="1"/>
    <col min="15854" max="15854" width="18" style="108" customWidth="1"/>
    <col min="15855" max="15855" width="23.7109375" style="108" customWidth="1"/>
    <col min="15856" max="15856" width="26" style="108" customWidth="1"/>
    <col min="15857" max="15857" width="21.42578125" style="108" customWidth="1"/>
    <col min="15858" max="15858" width="20.85546875" style="108" customWidth="1"/>
    <col min="15859" max="15859" width="0" style="108" hidden="1" customWidth="1"/>
    <col min="15860" max="16107" width="9.140625" style="108"/>
    <col min="16108" max="16108" width="21.42578125" style="108" customWidth="1"/>
    <col min="16109" max="16109" width="16.42578125" style="108" customWidth="1"/>
    <col min="16110" max="16110" width="18" style="108" customWidth="1"/>
    <col min="16111" max="16111" width="23.7109375" style="108" customWidth="1"/>
    <col min="16112" max="16112" width="26" style="108" customWidth="1"/>
    <col min="16113" max="16113" width="21.42578125" style="108" customWidth="1"/>
    <col min="16114" max="16114" width="20.85546875" style="108" customWidth="1"/>
    <col min="16115" max="16115" width="0" style="108" hidden="1" customWidth="1"/>
    <col min="16116" max="16384" width="9.140625" style="108"/>
  </cols>
  <sheetData>
    <row r="1" spans="2:22" ht="9" customHeight="1" thickBot="1" x14ac:dyDescent="0.25"/>
    <row r="2" spans="2:22" s="110" customFormat="1" ht="30" customHeight="1" thickBot="1" x14ac:dyDescent="0.3">
      <c r="B2" s="130" t="s">
        <v>39</v>
      </c>
      <c r="C2" s="131"/>
      <c r="D2" s="131"/>
      <c r="E2" s="131"/>
      <c r="F2" s="131"/>
      <c r="G2" s="132"/>
      <c r="H2" s="131"/>
      <c r="I2" s="131"/>
      <c r="J2" s="131"/>
      <c r="K2" s="131"/>
      <c r="L2" s="131"/>
      <c r="M2" s="133"/>
      <c r="N2" s="132"/>
      <c r="O2" s="132"/>
      <c r="P2" s="134"/>
    </row>
    <row r="3" spans="2:22" ht="15" x14ac:dyDescent="0.25">
      <c r="G3" s="135"/>
      <c r="M3" s="136"/>
      <c r="N3" s="137"/>
      <c r="O3" s="137"/>
      <c r="P3" s="137"/>
      <c r="R3" s="1174" t="s">
        <v>178</v>
      </c>
      <c r="S3" s="1175"/>
    </row>
    <row r="4" spans="2:22" ht="45" customHeight="1" x14ac:dyDescent="0.25">
      <c r="B4" s="111" t="s">
        <v>151</v>
      </c>
      <c r="C4" s="112" t="s">
        <v>281</v>
      </c>
      <c r="D4" s="112" t="s">
        <v>40</v>
      </c>
      <c r="E4" s="112" t="s">
        <v>8</v>
      </c>
      <c r="F4" s="112" t="s">
        <v>44</v>
      </c>
      <c r="G4" s="112" t="s">
        <v>713</v>
      </c>
      <c r="H4" s="112" t="s">
        <v>176</v>
      </c>
      <c r="I4" s="112" t="s">
        <v>231</v>
      </c>
      <c r="J4" s="112" t="s">
        <v>232</v>
      </c>
      <c r="K4" s="112" t="s">
        <v>233</v>
      </c>
      <c r="L4" s="112" t="s">
        <v>234</v>
      </c>
      <c r="M4" s="112" t="s">
        <v>118</v>
      </c>
      <c r="N4" s="112" t="s">
        <v>42</v>
      </c>
      <c r="O4" s="112" t="s">
        <v>43</v>
      </c>
      <c r="P4" s="113" t="s">
        <v>44</v>
      </c>
      <c r="R4" s="1170" t="s">
        <v>235</v>
      </c>
      <c r="S4" s="1172" t="s">
        <v>177</v>
      </c>
    </row>
    <row r="5" spans="2:22" ht="15.75" customHeight="1" x14ac:dyDescent="0.25">
      <c r="B5" s="114" t="s">
        <v>41</v>
      </c>
      <c r="C5" s="115" t="s">
        <v>283</v>
      </c>
      <c r="D5" s="115" t="s">
        <v>0</v>
      </c>
      <c r="E5" s="115" t="s">
        <v>0</v>
      </c>
      <c r="F5" s="115" t="s">
        <v>0</v>
      </c>
      <c r="G5" s="116" t="s">
        <v>0</v>
      </c>
      <c r="H5" s="116" t="s">
        <v>0</v>
      </c>
      <c r="I5" s="116" t="s">
        <v>0</v>
      </c>
      <c r="J5" s="116" t="s">
        <v>0</v>
      </c>
      <c r="K5" s="115" t="s">
        <v>0</v>
      </c>
      <c r="L5" s="115" t="s">
        <v>0</v>
      </c>
      <c r="M5" s="116" t="s">
        <v>0</v>
      </c>
      <c r="N5" s="116" t="s">
        <v>0</v>
      </c>
      <c r="O5" s="115" t="s">
        <v>1</v>
      </c>
      <c r="P5" s="117" t="s">
        <v>45</v>
      </c>
      <c r="R5" s="1171"/>
      <c r="S5" s="1173"/>
    </row>
    <row r="6" spans="2:22" ht="15.75" customHeight="1" x14ac:dyDescent="0.2">
      <c r="B6" s="118">
        <v>0</v>
      </c>
      <c r="C6" s="119"/>
      <c r="D6" s="120"/>
      <c r="E6" s="120"/>
      <c r="F6" s="120"/>
      <c r="G6" s="121"/>
      <c r="H6" s="120"/>
      <c r="I6" s="120"/>
      <c r="J6" s="120"/>
      <c r="K6" s="120"/>
      <c r="M6" s="121">
        <f>'Detailed Cash Flow'!F66</f>
        <v>-2666978.3572946326</v>
      </c>
      <c r="N6" s="121">
        <f>M6</f>
        <v>-2666978.3572946326</v>
      </c>
      <c r="O6" s="138"/>
      <c r="P6" s="139"/>
      <c r="R6" s="236"/>
      <c r="S6" s="237"/>
      <c r="T6" s="975"/>
      <c r="U6" s="975"/>
      <c r="V6" s="975">
        <f>M6/(1+'Financial Inputs'!$G$80)^B6</f>
        <v>-2666978.3572946326</v>
      </c>
    </row>
    <row r="7" spans="2:22" s="126" customFormat="1" x14ac:dyDescent="0.2">
      <c r="B7" s="122">
        <v>1</v>
      </c>
      <c r="C7" s="397">
        <f>IF($B7&gt;'Financial Inputs'!$G$24,"",LOOKUP($B7,'Detailed Cash Flow'!$F$2:$AJ$2,'Detailed Cash Flow'!$F$14:$AJ$14))</f>
        <v>0.09</v>
      </c>
      <c r="D7" s="121">
        <f>IF($B7&gt;'Financial Inputs'!$G$24,"",LOOKUP($B7,'Detailed Cash Flow'!$F$2:$AJ$2,'Detailed Cash Flow'!$F$25:$AJ$25))</f>
        <v>804364.78046609461</v>
      </c>
      <c r="E7" s="121">
        <f>IF($B7&gt;'Financial Inputs'!$G$24,"",LOOKUP($B7,'Detailed Cash Flow'!$F$2:$AJ$2,'Detailed Cash Flow'!$F$33:$AJ$33))</f>
        <v>-311040.63119556807</v>
      </c>
      <c r="F7" s="121">
        <f>IF($B7&gt;'Financial Inputs'!$G$24,"",LOOKUP($B7,'Detailed Cash Flow'!$F$2:$AJ$2,'Detailed Cash Flow'!$F$127:$AJ$127)+LOOKUP($B7,'Detailed Cash Flow'!$F$2:$AJ$2,'Detailed Cash Flow'!$F$42:$AJ$42))</f>
        <v>-133516.99634585343</v>
      </c>
      <c r="G7" s="121">
        <f>IF($B7&gt;'Financial Inputs'!$G$24,"",LOOKUP($B7,'Detailed Cash Flow'!$F$2:$AJ$2,'Detailed Cash Flow'!$F$84:$AJ$84)+LOOKUP($B7,'Detailed Cash Flow'!$F$2:$AJ$2,'Detailed Cash Flow'!$F$47:$AJ$47))</f>
        <v>0</v>
      </c>
      <c r="H7" s="121">
        <f>IF($B7&gt;'Financial Inputs'!$G$24,"",SUM(D7:G7))</f>
        <v>359807.15292467311</v>
      </c>
      <c r="I7" s="121">
        <f ca="1">IF($B7&gt;'Financial Inputs'!$G$24,"",LOOKUP($B7,'Detailed Cash Flow'!$F$2:$AJ$2,'Detailed Cash Flow'!$F$59:$AJ$59))</f>
        <v>-118094.39117634285</v>
      </c>
      <c r="J7" s="121">
        <f ca="1">IF($B7&gt;'Financial Inputs'!$G$24,"",LOOKUP($B7,'Detailed Cash Flow'!$F$2:$AJ$2,'Detailed Cash Flow'!$F$60:$AJ$60))</f>
        <v>-118094.39117634285</v>
      </c>
      <c r="K7" s="121">
        <f ca="1">IF($B7&gt;'Financial Inputs'!$G$24,"",LOOKUP($B7,'Detailed Cash Flow'!$F$2:$AJ$2,'Detailed Cash Flow'!$F$62:$AJ$62)+LOOKUP($B7,'Detailed Cash Flow'!$F$2:$AJ$2,'Detailed Cash Flow'!$F$64:$AJ$64))</f>
        <v>70726.627826002194</v>
      </c>
      <c r="L7" s="121">
        <f ca="1">IF($B7&gt;'Financial Inputs'!$G$24,"",LOOKUP($B7,'Detailed Cash Flow'!$F$2:$AJ$2,'Detailed Cash Flow'!$F$63:$AJ$63)+LOOKUP($B7,'Detailed Cash Flow'!$F$2:$AJ$2,'Detailed Cash Flow'!$F$65:$AJ$65))</f>
        <v>8266.6073823440001</v>
      </c>
      <c r="M7" s="121">
        <f ca="1">IF($B7&gt;'Financial Inputs'!$G$24,"",H7+K7+L7)</f>
        <v>438800.38813301933</v>
      </c>
      <c r="N7" s="121">
        <f ca="1">IF($B7&gt;'Financial Inputs'!$G$24,N6,N6+M7)</f>
        <v>-2228177.9691616134</v>
      </c>
      <c r="O7" s="124">
        <f ca="1">IF($B7&gt;'Financial Inputs'!$G$24,"",LOOKUP($B7,'Detailed Cash Flow'!$F$2:$AJ$2,'Detailed Cash Flow'!$F$67:$AJ$67))</f>
        <v>-0.83546908547914289</v>
      </c>
      <c r="P7" s="125">
        <f>IF($B7&gt;'Financial Inputs'!$G$24,"",LOOKUP($B7,'Detailed Cash Flow'!$F$2:$AJ$2,'Detailed Cash Flow'!$F$39:$AJ$39))</f>
        <v>3.7525447294607002</v>
      </c>
      <c r="R7" s="238">
        <f ca="1">IF($B7&gt;'Financial Inputs'!$G$24,"",D7+K7+L7)</f>
        <v>883358.01567444077</v>
      </c>
      <c r="S7" s="239">
        <f>IF($B7&gt;'Financial Inputs'!$G$24,"",-(E7+F7+G7))</f>
        <v>444557.62754142151</v>
      </c>
      <c r="T7" s="976">
        <f ca="1">'Key inputs &amp; Outputs'!E45</f>
        <v>49739.428291780991</v>
      </c>
      <c r="U7" s="975">
        <f ca="1">T7/(1+'Financial Inputs'!$G$80)^B7</f>
        <v>45217.662083437259</v>
      </c>
      <c r="V7" s="975">
        <f ca="1">M7/(1+'Financial Inputs'!$G$80)^B7</f>
        <v>398909.44375729025</v>
      </c>
    </row>
    <row r="8" spans="2:22" s="126" customFormat="1" ht="15.75" customHeight="1" x14ac:dyDescent="0.2">
      <c r="B8" s="127">
        <v>2</v>
      </c>
      <c r="C8" s="397">
        <f>IF($B8&gt;'Financial Inputs'!$G$24,"",LOOKUP($B8,'Detailed Cash Flow'!$F$2:$AJ$2,'Detailed Cash Flow'!$F$14:$AJ$14))</f>
        <v>9.1799999999999993E-2</v>
      </c>
      <c r="D8" s="121">
        <f>IF($B8&gt;'Financial Inputs'!$G$24,"",LOOKUP($B8,'Detailed Cash Flow'!$F$2:$AJ$2,'Detailed Cash Flow'!$F$25:$AJ$25))</f>
        <v>820452.07607541652</v>
      </c>
      <c r="E8" s="121">
        <f>IF($B8&gt;'Financial Inputs'!$G$24,"",LOOKUP($B8,'Detailed Cash Flow'!$F$2:$AJ$2,'Detailed Cash Flow'!$F$33:$AJ$33))</f>
        <v>-275475.44381947943</v>
      </c>
      <c r="F8" s="121">
        <f>IF($B8&gt;'Financial Inputs'!$G$24,"",LOOKUP($B8,'Detailed Cash Flow'!$F$2:$AJ$2,'Detailed Cash Flow'!$F$127:$AJ$127)+LOOKUP($B8,'Detailed Cash Flow'!$F$2:$AJ$2,'Detailed Cash Flow'!$F$42:$AJ$42))</f>
        <v>-133352.58465064023</v>
      </c>
      <c r="G8" s="121">
        <f>IF($B8&gt;'Financial Inputs'!$G$24,"",LOOKUP($B8,'Detailed Cash Flow'!$F$2:$AJ$2,'Detailed Cash Flow'!$F$84:$AJ$84)+LOOKUP($B8,'Detailed Cash Flow'!$F$2:$AJ$2,'Detailed Cash Flow'!$F$47:$AJ$47))</f>
        <v>0</v>
      </c>
      <c r="H8" s="121">
        <f>IF($B8&gt;'Financial Inputs'!$G$24,"",SUM(D8:G8))</f>
        <v>411624.04760529683</v>
      </c>
      <c r="I8" s="121">
        <f ca="1">IF($B8&gt;'Financial Inputs'!$G$24,"",LOOKUP($B8,'Detailed Cash Flow'!$F$2:$AJ$2,'Detailed Cash Flow'!$F$59:$AJ$59))</f>
        <v>-424496.60777382884</v>
      </c>
      <c r="J8" s="121">
        <f ca="1">IF($B8&gt;'Financial Inputs'!$G$24,"",LOOKUP($B8,'Detailed Cash Flow'!$F$2:$AJ$2,'Detailed Cash Flow'!$F$60:$AJ$60))</f>
        <v>-424496.60777382884</v>
      </c>
      <c r="K8" s="121">
        <f ca="1">IF($B8&gt;'Financial Inputs'!$G$24,"",LOOKUP($B8,'Detailed Cash Flow'!$F$2:$AJ$2,'Detailed Cash Flow'!$F$62:$AJ$62)+LOOKUP($B8,'Detailed Cash Flow'!$F$2:$AJ$2,'Detailed Cash Flow'!$F$64:$AJ$64))</f>
        <v>171106.28739844594</v>
      </c>
      <c r="L8" s="121">
        <f ca="1">IF($B8&gt;'Financial Inputs'!$G$24,"",LOOKUP($B8,'Detailed Cash Flow'!$F$2:$AJ$2,'Detailed Cash Flow'!$F$63:$AJ$63)+LOOKUP($B8,'Detailed Cash Flow'!$F$2:$AJ$2,'Detailed Cash Flow'!$F$65:$AJ$65))</f>
        <v>29714.762544168021</v>
      </c>
      <c r="M8" s="121">
        <f ca="1">IF($B8&gt;'Financial Inputs'!$G$24,"",H8+K8+L8)</f>
        <v>612445.09754791076</v>
      </c>
      <c r="N8" s="121">
        <f ca="1">IF($B8&gt;'Financial Inputs'!$G$24,N7,N7+M8)</f>
        <v>-1615732.8716137027</v>
      </c>
      <c r="O8" s="124">
        <f ca="1">IF($B8&gt;'Financial Inputs'!$G$24,"",LOOKUP($B8,'Detailed Cash Flow'!$F$2:$AJ$2,'Detailed Cash Flow'!$F$67:$AJ$67))</f>
        <v>-0.43151681806050768</v>
      </c>
      <c r="P8" s="125">
        <f>IF($B8&gt;'Financial Inputs'!$G$24,"",LOOKUP($B8,'Detailed Cash Flow'!$F$2:$AJ$2,'Detailed Cash Flow'!$F$39:$AJ$39))</f>
        <v>4.1454471508748423</v>
      </c>
      <c r="R8" s="238">
        <f ca="1">IF($B8&gt;'Financial Inputs'!$G$24,"",D8+K8+L8)</f>
        <v>1021273.1260180305</v>
      </c>
      <c r="S8" s="239">
        <f>IF($B8&gt;'Financial Inputs'!$G$24,"",-(E8+F8+G8))</f>
        <v>408828.02847011969</v>
      </c>
      <c r="T8" s="976">
        <f ca="1">T7*(1+'Financial Inputs'!$G$55)</f>
        <v>50734.216857616608</v>
      </c>
      <c r="U8" s="975">
        <f ca="1">T8/(1+'Financial Inputs'!$G$80)^B8</f>
        <v>41929.104841005457</v>
      </c>
      <c r="V8" s="975">
        <f ca="1">M8/(1+'Financial Inputs'!$G$80)^B8</f>
        <v>506152.97318009147</v>
      </c>
    </row>
    <row r="9" spans="2:22" x14ac:dyDescent="0.2">
      <c r="B9" s="122">
        <v>3</v>
      </c>
      <c r="C9" s="397">
        <f>IF($B9&gt;'Financial Inputs'!$G$24,"",LOOKUP($B9,'Detailed Cash Flow'!$F$2:$AJ$2,'Detailed Cash Flow'!$F$14:$AJ$14))</f>
        <v>9.3635999999999997E-2</v>
      </c>
      <c r="D9" s="121">
        <f>IF($B9&gt;'Financial Inputs'!$G$24,"",LOOKUP($B9,'Detailed Cash Flow'!$F$2:$AJ$2,'Detailed Cash Flow'!$F$25:$AJ$25))</f>
        <v>836861.117596925</v>
      </c>
      <c r="E9" s="121">
        <f>IF($B9&gt;'Financial Inputs'!$G$24,"",LOOKUP($B9,'Detailed Cash Flow'!$F$2:$AJ$2,'Detailed Cash Flow'!$F$33:$AJ$33))</f>
        <v>-331895.19269586902</v>
      </c>
      <c r="F9" s="121">
        <f>IF($B9&gt;'Financial Inputs'!$G$24,"",LOOKUP($B9,'Detailed Cash Flow'!$F$2:$AJ$2,'Detailed Cash Flow'!$F$127:$AJ$127)+LOOKUP($B9,'Detailed Cash Flow'!$F$2:$AJ$2,'Detailed Cash Flow'!$F$42:$AJ$42))</f>
        <v>-133175.02001980998</v>
      </c>
      <c r="G9" s="121">
        <f>IF($B9&gt;'Financial Inputs'!$G$24,"",LOOKUP($B9,'Detailed Cash Flow'!$F$2:$AJ$2,'Detailed Cash Flow'!$F$84:$AJ$84)+LOOKUP($B9,'Detailed Cash Flow'!$F$2:$AJ$2,'Detailed Cash Flow'!$F$47:$AJ$47))</f>
        <v>-77509.959903733426</v>
      </c>
      <c r="H9" s="121">
        <f>IF($B9&gt;'Financial Inputs'!$G$24,"",SUM(D9:G9))</f>
        <v>294280.94497751258</v>
      </c>
      <c r="I9" s="121">
        <f ca="1">IF($B9&gt;'Financial Inputs'!$G$24,"",LOOKUP($B9,'Detailed Cash Flow'!$F$2:$AJ$2,'Detailed Cash Flow'!$F$59:$AJ$59))</f>
        <v>-183424.92224661907</v>
      </c>
      <c r="J9" s="121">
        <f ca="1">IF($B9&gt;'Financial Inputs'!$G$24,"",LOOKUP($B9,'Detailed Cash Flow'!$F$2:$AJ$2,'Detailed Cash Flow'!$F$60:$AJ$60))</f>
        <v>-183424.92224661907</v>
      </c>
      <c r="K9" s="121">
        <f ca="1">IF($B9&gt;'Financial Inputs'!$G$24,"",LOOKUP($B9,'Detailed Cash Flow'!$F$2:$AJ$2,'Detailed Cash Flow'!$F$62:$AJ$62)+LOOKUP($B9,'Detailed Cash Flow'!$F$2:$AJ$2,'Detailed Cash Flow'!$F$64:$AJ$64))</f>
        <v>93296.106590700452</v>
      </c>
      <c r="L9" s="121">
        <f ca="1">IF($B9&gt;'Financial Inputs'!$G$24,"",LOOKUP($B9,'Detailed Cash Flow'!$F$2:$AJ$2,'Detailed Cash Flow'!$F$63:$AJ$63)+LOOKUP($B9,'Detailed Cash Flow'!$F$2:$AJ$2,'Detailed Cash Flow'!$F$65:$AJ$65))</f>
        <v>12839.744557263337</v>
      </c>
      <c r="M9" s="121">
        <f ca="1">IF($B9&gt;'Financial Inputs'!$G$24,"",H9+K9+L9)</f>
        <v>400416.79612547636</v>
      </c>
      <c r="N9" s="121">
        <f ca="1">IF($B9&gt;'Financial Inputs'!$G$24,N8,N8+M9)</f>
        <v>-1215316.0754882265</v>
      </c>
      <c r="O9" s="124">
        <f ca="1">IF($B9&gt;'Financial Inputs'!$G$24,"",LOOKUP($B9,'Detailed Cash Flow'!$F$2:$AJ$2,'Detailed Cash Flow'!$F$67:$AJ$67))</f>
        <v>-0.25580282192494175</v>
      </c>
      <c r="P9" s="125">
        <f>IF($B9&gt;'Financial Inputs'!$G$24,"",LOOKUP($B9,'Detailed Cash Flow'!$F$2:$AJ$2,'Detailed Cash Flow'!$F$39:$AJ$39))</f>
        <v>3.2515084268611818</v>
      </c>
      <c r="R9" s="238">
        <f ca="1">IF($B9&gt;'Financial Inputs'!$G$24,"",D9+K9+L9)</f>
        <v>942996.96874488879</v>
      </c>
      <c r="S9" s="239">
        <f>IF($B9&gt;'Financial Inputs'!$G$24,"",-(E9+F9+G9))</f>
        <v>542580.17261941242</v>
      </c>
      <c r="T9" s="976">
        <f ca="1">T8*(1+'Financial Inputs'!$G$55)</f>
        <v>51748.901194768943</v>
      </c>
      <c r="U9" s="975">
        <f ca="1">T9/(1+'Financial Inputs'!$G$80)^B9</f>
        <v>38879.71539802324</v>
      </c>
      <c r="V9" s="975">
        <f ca="1">M9/(1+'Financial Inputs'!$G$80)^B9</f>
        <v>300839.06545865984</v>
      </c>
    </row>
    <row r="10" spans="2:22" x14ac:dyDescent="0.2">
      <c r="B10" s="122">
        <v>4</v>
      </c>
      <c r="C10" s="397">
        <f>IF($B10&gt;'Financial Inputs'!$G$24,"",LOOKUP($B10,'Detailed Cash Flow'!$F$2:$AJ$2,'Detailed Cash Flow'!$F$14:$AJ$14))</f>
        <v>9.5508719999999991E-2</v>
      </c>
      <c r="D10" s="121">
        <f>IF($B10&gt;'Financial Inputs'!$G$24,"",LOOKUP($B10,'Detailed Cash Flow'!$F$2:$AJ$2,'Detailed Cash Flow'!$F$25:$AJ$25))</f>
        <v>853598.33994886337</v>
      </c>
      <c r="E10" s="121">
        <f>IF($B10&gt;'Financial Inputs'!$G$24,"",LOOKUP($B10,'Detailed Cash Flow'!$F$2:$AJ$2,'Detailed Cash Flow'!$F$33:$AJ$33))</f>
        <v>-338533.09654978639</v>
      </c>
      <c r="F10" s="121">
        <f>IF($B10&gt;'Financial Inputs'!$G$24,"",LOOKUP($B10,'Detailed Cash Flow'!$F$2:$AJ$2,'Detailed Cash Flow'!$F$127:$AJ$127)+LOOKUP($B10,'Detailed Cash Flow'!$F$2:$AJ$2,'Detailed Cash Flow'!$F$42:$AJ$42))</f>
        <v>-132983.25021851333</v>
      </c>
      <c r="G10" s="121">
        <f>IF($B10&gt;'Financial Inputs'!$G$24,"",LOOKUP($B10,'Detailed Cash Flow'!$F$2:$AJ$2,'Detailed Cash Flow'!$F$84:$AJ$84)+LOOKUP($B10,'Detailed Cash Flow'!$F$2:$AJ$2,'Detailed Cash Flow'!$F$47:$AJ$47))</f>
        <v>0</v>
      </c>
      <c r="H10" s="121">
        <f>IF($B10&gt;'Financial Inputs'!$G$24,"",SUM(D10:G10))</f>
        <v>382081.99318056367</v>
      </c>
      <c r="I10" s="121">
        <f ca="1">IF($B10&gt;'Financial Inputs'!$G$24,"",LOOKUP($B10,'Detailed Cash Flow'!$F$2:$AJ$2,'Detailed Cash Flow'!$F$59:$AJ$59))</f>
        <v>15549.385400421452</v>
      </c>
      <c r="J10" s="121">
        <f ca="1">IF($B10&gt;'Financial Inputs'!$G$24,"",LOOKUP($B10,'Detailed Cash Flow'!$F$2:$AJ$2,'Detailed Cash Flow'!$F$60:$AJ$60))</f>
        <v>15549.385400421452</v>
      </c>
      <c r="K10" s="121">
        <f ca="1">IF($B10&gt;'Financial Inputs'!$G$24,"",LOOKUP($B10,'Detailed Cash Flow'!$F$2:$AJ$2,'Detailed Cash Flow'!$F$62:$AJ$62)+LOOKUP($B10,'Detailed Cash Flow'!$F$2:$AJ$2,'Detailed Cash Flow'!$F$64:$AJ$64))</f>
        <v>29201.795339577286</v>
      </c>
      <c r="L10" s="121">
        <f ca="1">IF($B10&gt;'Financial Inputs'!$G$24,"",LOOKUP($B10,'Detailed Cash Flow'!$F$2:$AJ$2,'Detailed Cash Flow'!$F$63:$AJ$63)+LOOKUP($B10,'Detailed Cash Flow'!$F$2:$AJ$2,'Detailed Cash Flow'!$F$65:$AJ$65))</f>
        <v>-1088.4569780295017</v>
      </c>
      <c r="M10" s="121">
        <f ca="1">IF($B10&gt;'Financial Inputs'!$G$24,"",H10+K10+L10)</f>
        <v>410195.33154211147</v>
      </c>
      <c r="N10" s="121">
        <f ca="1">IF($B10&gt;'Financial Inputs'!$G$24,N9,N9+M10)</f>
        <v>-805120.74394611502</v>
      </c>
      <c r="O10" s="124">
        <f ca="1">IF($B10&gt;'Financial Inputs'!$G$24,"",LOOKUP($B10,'Detailed Cash Flow'!$F$2:$AJ$2,'Detailed Cash Flow'!$F$67:$AJ$67))</f>
        <v>-0.13372161098912738</v>
      </c>
      <c r="P10" s="125">
        <f>IF($B10&gt;'Financial Inputs'!$G$24,"",LOOKUP($B10,'Detailed Cash Flow'!$F$2:$AJ$2,'Detailed Cash Flow'!$F$39:$AJ$39))</f>
        <v>3.9179216490893847</v>
      </c>
      <c r="R10" s="238">
        <f ca="1">IF($B10&gt;'Financial Inputs'!$G$24,"",D10+K10+L10)</f>
        <v>881711.67831041117</v>
      </c>
      <c r="S10" s="239">
        <f>IF($B10&gt;'Financial Inputs'!$G$24,"",-(E10+F10+G10))</f>
        <v>471516.3467682997</v>
      </c>
      <c r="T10" s="976">
        <f ca="1">T9*(1+'Financial Inputs'!$G$55)</f>
        <v>52783.879218664326</v>
      </c>
      <c r="U10" s="975">
        <f ca="1">T10/(1+'Financial Inputs'!$G$80)^B10</f>
        <v>36052.099732712457</v>
      </c>
      <c r="V10" s="975">
        <f ca="1">M10/(1+'Financial Inputs'!$G$80)^B10</f>
        <v>280168.93077119824</v>
      </c>
    </row>
    <row r="11" spans="2:22" x14ac:dyDescent="0.2">
      <c r="B11" s="127">
        <v>5</v>
      </c>
      <c r="C11" s="397">
        <f>IF($B11&gt;'Financial Inputs'!$G$24,"",LOOKUP($B11,'Detailed Cash Flow'!$F$2:$AJ$2,'Detailed Cash Flow'!$F$14:$AJ$14))</f>
        <v>9.7418894399999997E-2</v>
      </c>
      <c r="D11" s="121">
        <f>IF($B11&gt;'Financial Inputs'!$G$24,"",LOOKUP($B11,'Detailed Cash Flow'!$F$2:$AJ$2,'Detailed Cash Flow'!$F$25:$AJ$25))</f>
        <v>870670.3067478406</v>
      </c>
      <c r="E11" s="121">
        <f>IF($B11&gt;'Financial Inputs'!$G$24,"",LOOKUP($B11,'Detailed Cash Flow'!$F$2:$AJ$2,'Detailed Cash Flow'!$F$33:$AJ$33))</f>
        <v>-345303.75848078215</v>
      </c>
      <c r="F11" s="121">
        <f>IF($B11&gt;'Financial Inputs'!$G$24,"",LOOKUP($B11,'Detailed Cash Flow'!$F$2:$AJ$2,'Detailed Cash Flow'!$F$127:$AJ$127)+LOOKUP($B11,'Detailed Cash Flow'!$F$2:$AJ$2,'Detailed Cash Flow'!$F$42:$AJ$42))</f>
        <v>-132776.13883311293</v>
      </c>
      <c r="G11" s="121">
        <f>IF($B11&gt;'Financial Inputs'!$G$24,"",LOOKUP($B11,'Detailed Cash Flow'!$F$2:$AJ$2,'Detailed Cash Flow'!$F$84:$AJ$84)+LOOKUP($B11,'Detailed Cash Flow'!$F$2:$AJ$2,'Detailed Cash Flow'!$F$47:$AJ$47))</f>
        <v>0</v>
      </c>
      <c r="H11" s="121">
        <f>IF($B11&gt;'Financial Inputs'!$G$24,"",SUM(D11:G11))</f>
        <v>392590.40943394555</v>
      </c>
      <c r="I11" s="121">
        <f ca="1">IF($B11&gt;'Financial Inputs'!$G$24,"",LOOKUP($B11,'Detailed Cash Flow'!$F$2:$AJ$2,'Detailed Cash Flow'!$F$59:$AJ$59))</f>
        <v>119565.66195811995</v>
      </c>
      <c r="J11" s="121">
        <f ca="1">IF($B11&gt;'Financial Inputs'!$G$24,"",LOOKUP($B11,'Detailed Cash Flow'!$F$2:$AJ$2,'Detailed Cash Flow'!$F$60:$AJ$60))</f>
        <v>119565.66195811995</v>
      </c>
      <c r="K11" s="121">
        <f ca="1">IF($B11&gt;'Financial Inputs'!$G$24,"",LOOKUP($B11,'Detailed Cash Flow'!$F$2:$AJ$2,'Detailed Cash Flow'!$F$62:$AJ$62)+LOOKUP($B11,'Detailed Cash Flow'!$F$2:$AJ$2,'Detailed Cash Flow'!$F$64:$AJ$64))</f>
        <v>-3970.2402742052873</v>
      </c>
      <c r="L11" s="121">
        <f ca="1">IF($B11&gt;'Financial Inputs'!$G$24,"",LOOKUP($B11,'Detailed Cash Flow'!$F$2:$AJ$2,'Detailed Cash Flow'!$F$63:$AJ$63)+LOOKUP($B11,'Detailed Cash Flow'!$F$2:$AJ$2,'Detailed Cash Flow'!$F$65:$AJ$65))</f>
        <v>-8369.5963370683967</v>
      </c>
      <c r="M11" s="121">
        <f ca="1">IF($B11&gt;'Financial Inputs'!$G$24,"",H11+K11+L11)</f>
        <v>380250.57282267185</v>
      </c>
      <c r="N11" s="121">
        <f ca="1">IF($B11&gt;'Financial Inputs'!$G$24,N10,N10+M11)</f>
        <v>-424870.17112344317</v>
      </c>
      <c r="O11" s="124">
        <f ca="1">IF($B11&gt;'Financial Inputs'!$G$24,"",LOOKUP($B11,'Detailed Cash Flow'!$F$2:$AJ$2,'Detailed Cash Flow'!$F$67:$AJ$67))</f>
        <v>-5.7805880473894566E-2</v>
      </c>
      <c r="P11" s="125">
        <f>IF($B11&gt;'Financial Inputs'!$G$24,"",LOOKUP($B11,'Detailed Cash Flow'!$F$2:$AJ$2,'Detailed Cash Flow'!$F$39:$AJ$39))</f>
        <v>3.9962800820711717</v>
      </c>
      <c r="R11" s="238">
        <f ca="1">IF($B11&gt;'Financial Inputs'!$G$24,"",D11+K11+L11)</f>
        <v>858330.4701365669</v>
      </c>
      <c r="S11" s="239">
        <f>IF($B11&gt;'Financial Inputs'!$G$24,"",-(E11+F11+G11))</f>
        <v>478079.89731389505</v>
      </c>
      <c r="T11" s="976">
        <f ca="1">T10*(1+'Financial Inputs'!$G$55)</f>
        <v>53839.556803037616</v>
      </c>
      <c r="U11" s="975">
        <f ca="1">T11/(1+'Financial Inputs'!$G$80)^B11</f>
        <v>33430.128843060644</v>
      </c>
      <c r="V11" s="975">
        <f ca="1">M11/(1+'Financial Inputs'!$G$80)^B11</f>
        <v>236105.68877105496</v>
      </c>
    </row>
    <row r="12" spans="2:22" x14ac:dyDescent="0.2">
      <c r="B12" s="122">
        <v>6</v>
      </c>
      <c r="C12" s="397">
        <f>IF($B12&gt;'Financial Inputs'!$G$24,"",LOOKUP($B12,'Detailed Cash Flow'!$F$2:$AJ$2,'Detailed Cash Flow'!$F$14:$AJ$14))</f>
        <v>9.9367272287999991E-2</v>
      </c>
      <c r="D12" s="121">
        <f>IF($B12&gt;'Financial Inputs'!$G$24,"",LOOKUP($B12,'Detailed Cash Flow'!$F$2:$AJ$2,'Detailed Cash Flow'!$F$25:$AJ$25))</f>
        <v>888083.71288279758</v>
      </c>
      <c r="E12" s="121">
        <f>IF($B12&gt;'Financial Inputs'!$G$24,"",LOOKUP($B12,'Detailed Cash Flow'!$F$2:$AJ$2,'Detailed Cash Flow'!$F$33:$AJ$33))</f>
        <v>-352209.83365039778</v>
      </c>
      <c r="F12" s="121">
        <f>IF($B12&gt;'Financial Inputs'!$G$24,"",LOOKUP($B12,'Detailed Cash Flow'!$F$2:$AJ$2,'Detailed Cash Flow'!$F$127:$AJ$127)+LOOKUP($B12,'Detailed Cash Flow'!$F$2:$AJ$2,'Detailed Cash Flow'!$F$42:$AJ$42))</f>
        <v>-132552.45853688047</v>
      </c>
      <c r="G12" s="121">
        <f>IF($B12&gt;'Financial Inputs'!$G$24,"",LOOKUP($B12,'Detailed Cash Flow'!$F$2:$AJ$2,'Detailed Cash Flow'!$F$84:$AJ$84)+LOOKUP($B12,'Detailed Cash Flow'!$F$2:$AJ$2,'Detailed Cash Flow'!$F$47:$AJ$47))</f>
        <v>-82254.189529521143</v>
      </c>
      <c r="H12" s="121">
        <f>IF($B12&gt;'Financial Inputs'!$G$24,"",SUM(D12:G12))</f>
        <v>321067.23116599827</v>
      </c>
      <c r="I12" s="121">
        <f ca="1">IF($B12&gt;'Financial Inputs'!$G$24,"",LOOKUP($B12,'Detailed Cash Flow'!$F$2:$AJ$2,'Detailed Cash Flow'!$F$59:$AJ$59))</f>
        <v>199828.94295703451</v>
      </c>
      <c r="J12" s="121">
        <f ca="1">IF($B12&gt;'Financial Inputs'!$G$24,"",LOOKUP($B12,'Detailed Cash Flow'!$F$2:$AJ$2,'Detailed Cash Flow'!$F$60:$AJ$60))</f>
        <v>199828.94295703451</v>
      </c>
      <c r="K12" s="121">
        <f ca="1">IF($B12&gt;'Financial Inputs'!$G$24,"",LOOKUP($B12,'Detailed Cash Flow'!$F$2:$AJ$2,'Detailed Cash Flow'!$F$62:$AJ$62)+LOOKUP($B12,'Detailed Cash Flow'!$F$2:$AJ$2,'Detailed Cash Flow'!$F$64:$AJ$64))</f>
        <v>-29396.970585488714</v>
      </c>
      <c r="L12" s="121">
        <f ca="1">IF($B12&gt;'Financial Inputs'!$G$24,"",LOOKUP($B12,'Detailed Cash Flow'!$F$2:$AJ$2,'Detailed Cash Flow'!$F$63:$AJ$63)+LOOKUP($B12,'Detailed Cash Flow'!$F$2:$AJ$2,'Detailed Cash Flow'!$F$65:$AJ$65))</f>
        <v>-13988.026006992417</v>
      </c>
      <c r="M12" s="121">
        <f ca="1">IF($B12&gt;'Financial Inputs'!$G$24,"",H12+K12+L12)</f>
        <v>277682.23457351711</v>
      </c>
      <c r="N12" s="121">
        <f ca="1">IF($B12&gt;'Financial Inputs'!$G$24,N11,N11+M12)</f>
        <v>-147187.93654992606</v>
      </c>
      <c r="O12" s="124">
        <f ca="1">IF($B12&gt;'Financial Inputs'!$G$24,"",LOOKUP($B12,'Detailed Cash Flow'!$F$2:$AJ$2,'Detailed Cash Flow'!$F$67:$AJ$67))</f>
        <v>-1.7436964198505267E-2</v>
      </c>
      <c r="P12" s="125">
        <f>IF($B12&gt;'Financial Inputs'!$G$24,"",LOOKUP($B12,'Detailed Cash Flow'!$F$2:$AJ$2,'Detailed Cash Flow'!$F$39:$AJ$39))</f>
        <v>3.4505267546525014</v>
      </c>
      <c r="R12" s="238">
        <f ca="1">IF($B12&gt;'Financial Inputs'!$G$24,"",D12+K12+L12)</f>
        <v>844698.71629031643</v>
      </c>
      <c r="S12" s="239">
        <f>IF($B12&gt;'Financial Inputs'!$G$24,"",-(E12+F12+G12))</f>
        <v>567016.48171679943</v>
      </c>
      <c r="T12" s="976">
        <f ca="1">T11*(1+'Financial Inputs'!$G$55)</f>
        <v>54916.34793909837</v>
      </c>
      <c r="U12" s="975">
        <f ca="1">T12/(1+'Financial Inputs'!$G$80)^B12</f>
        <v>30998.846745383504</v>
      </c>
      <c r="V12" s="975">
        <f ca="1">M12/(1+'Financial Inputs'!$G$80)^B12</f>
        <v>156744.38225582804</v>
      </c>
    </row>
    <row r="13" spans="2:22" x14ac:dyDescent="0.2">
      <c r="B13" s="122">
        <v>7</v>
      </c>
      <c r="C13" s="397">
        <f>IF($B13&gt;'Financial Inputs'!$G$24,"",LOOKUP($B13,'Detailed Cash Flow'!$F$2:$AJ$2,'Detailed Cash Flow'!$F$14:$AJ$14))</f>
        <v>0.10135461773376001</v>
      </c>
      <c r="D13" s="121">
        <f>IF($B13&gt;'Financial Inputs'!$G$24,"",LOOKUP($B13,'Detailed Cash Flow'!$F$2:$AJ$2,'Detailed Cash Flow'!$F$25:$AJ$25))</f>
        <v>905845.38714045356</v>
      </c>
      <c r="E13" s="121">
        <f>IF($B13&gt;'Financial Inputs'!$G$24,"",LOOKUP($B13,'Detailed Cash Flow'!$F$2:$AJ$2,'Detailed Cash Flow'!$F$33:$AJ$33))</f>
        <v>-359254.03032340575</v>
      </c>
      <c r="F13" s="121">
        <f>IF($B13&gt;'Financial Inputs'!$G$24,"",LOOKUP($B13,'Detailed Cash Flow'!$F$2:$AJ$2,'Detailed Cash Flow'!$F$127:$AJ$127)+LOOKUP($B13,'Detailed Cash Flow'!$F$2:$AJ$2,'Detailed Cash Flow'!$F$42:$AJ$42))</f>
        <v>-132310.88381694947</v>
      </c>
      <c r="G13" s="121">
        <f>IF($B13&gt;'Financial Inputs'!$G$24,"",LOOKUP($B13,'Detailed Cash Flow'!$F$2:$AJ$2,'Detailed Cash Flow'!$F$84:$AJ$84)+LOOKUP($B13,'Detailed Cash Flow'!$F$2:$AJ$2,'Detailed Cash Flow'!$F$47:$AJ$47))</f>
        <v>0</v>
      </c>
      <c r="H13" s="121">
        <f>IF($B13&gt;'Financial Inputs'!$G$24,"",SUM(D13:G13))</f>
        <v>414280.47300009837</v>
      </c>
      <c r="I13" s="121">
        <f ca="1">IF($B13&gt;'Financial Inputs'!$G$24,"",LOOKUP($B13,'Detailed Cash Flow'!$F$2:$AJ$2,'Detailed Cash Flow'!$F$59:$AJ$59))</f>
        <v>272029.05032869929</v>
      </c>
      <c r="J13" s="121">
        <f ca="1">IF($B13&gt;'Financial Inputs'!$G$24,"",LOOKUP($B13,'Detailed Cash Flow'!$F$2:$AJ$2,'Detailed Cash Flow'!$F$60:$AJ$60))</f>
        <v>272029.05032869929</v>
      </c>
      <c r="K13" s="121">
        <f ca="1">IF($B13&gt;'Financial Inputs'!$G$24,"",LOOKUP($B13,'Detailed Cash Flow'!$F$2:$AJ$2,'Detailed Cash Flow'!$F$62:$AJ$62)+LOOKUP($B13,'Detailed Cash Flow'!$F$2:$AJ$2,'Detailed Cash Flow'!$F$64:$AJ$64))</f>
        <v>-52185.15852802508</v>
      </c>
      <c r="L13" s="121">
        <f ca="1">IF($B13&gt;'Financial Inputs'!$G$24,"",LOOKUP($B13,'Detailed Cash Flow'!$F$2:$AJ$2,'Detailed Cash Flow'!$F$63:$AJ$63)+LOOKUP($B13,'Detailed Cash Flow'!$F$2:$AJ$2,'Detailed Cash Flow'!$F$65:$AJ$65))</f>
        <v>-19042.033523008951</v>
      </c>
      <c r="M13" s="121">
        <f ca="1">IF($B13&gt;'Financial Inputs'!$G$24,"",H13+K13+L13)</f>
        <v>343053.28094906436</v>
      </c>
      <c r="N13" s="121">
        <f ca="1">IF($B13&gt;'Financial Inputs'!$G$24,N12,N12+M13)</f>
        <v>195865.3443991383</v>
      </c>
      <c r="O13" s="124">
        <f ca="1">IF($B13&gt;'Financial Inputs'!$G$24,"",LOOKUP($B13,'Detailed Cash Flow'!$F$2:$AJ$2,'Detailed Cash Flow'!$F$67:$AJ$67))</f>
        <v>1.9763730609249297E-2</v>
      </c>
      <c r="P13" s="125">
        <f>IF($B13&gt;'Financial Inputs'!$G$24,"",LOOKUP($B13,'Detailed Cash Flow'!$F$2:$AJ$2,'Detailed Cash Flow'!$F$39:$AJ$39))</f>
        <v>4.1577297973868488</v>
      </c>
      <c r="R13" s="238">
        <f ca="1">IF($B13&gt;'Financial Inputs'!$G$24,"",D13+K13+L13)</f>
        <v>834618.19508941961</v>
      </c>
      <c r="S13" s="239">
        <f>IF($B13&gt;'Financial Inputs'!$G$24,"",-(E13+F13+G13))</f>
        <v>491564.91414035519</v>
      </c>
      <c r="T13" s="976">
        <f ca="1">T12*(1+'Financial Inputs'!$G$55)</f>
        <v>56014.674897880337</v>
      </c>
      <c r="U13" s="975">
        <f ca="1">T13/(1+'Financial Inputs'!$G$80)^B13</f>
        <v>28744.385163901061</v>
      </c>
      <c r="V13" s="975">
        <f ca="1">M13/(1+'Financial Inputs'!$G$80)^B13</f>
        <v>176040.57610469172</v>
      </c>
    </row>
    <row r="14" spans="2:22" x14ac:dyDescent="0.2">
      <c r="B14" s="127">
        <v>8</v>
      </c>
      <c r="C14" s="397">
        <f>IF($B14&gt;'Financial Inputs'!$G$24,"",LOOKUP($B14,'Detailed Cash Flow'!$F$2:$AJ$2,'Detailed Cash Flow'!$F$14:$AJ$14))</f>
        <v>0.10338171008843521</v>
      </c>
      <c r="D14" s="121">
        <f>IF($B14&gt;'Financial Inputs'!$G$24,"",LOOKUP($B14,'Detailed Cash Flow'!$F$2:$AJ$2,'Detailed Cash Flow'!$F$25:$AJ$25))</f>
        <v>923962.29488326248</v>
      </c>
      <c r="E14" s="121">
        <f>IF($B14&gt;'Financial Inputs'!$G$24,"",LOOKUP($B14,'Detailed Cash Flow'!$F$2:$AJ$2,'Detailed Cash Flow'!$F$33:$AJ$33))</f>
        <v>-366439.11092987383</v>
      </c>
      <c r="F14" s="121">
        <f>IF($B14&gt;'Financial Inputs'!$G$24,"",LOOKUP($B14,'Detailed Cash Flow'!$F$2:$AJ$2,'Detailed Cash Flow'!$F$127:$AJ$127)+LOOKUP($B14,'Detailed Cash Flow'!$F$2:$AJ$2,'Detailed Cash Flow'!$F$42:$AJ$42))</f>
        <v>-132049.98311942397</v>
      </c>
      <c r="G14" s="121">
        <f>IF($B14&gt;'Financial Inputs'!$G$24,"",LOOKUP($B14,'Detailed Cash Flow'!$F$2:$AJ$2,'Detailed Cash Flow'!$F$84:$AJ$84)+LOOKUP($B14,'Detailed Cash Flow'!$F$2:$AJ$2,'Detailed Cash Flow'!$F$47:$AJ$47))</f>
        <v>-85577.258786513776</v>
      </c>
      <c r="H14" s="121">
        <f>IF($B14&gt;'Financial Inputs'!$G$24,"",SUM(D14:G14))</f>
        <v>339895.94204745087</v>
      </c>
      <c r="I14" s="121">
        <f ca="1">IF($B14&gt;'Financial Inputs'!$G$24,"",LOOKUP($B14,'Detailed Cash Flow'!$F$2:$AJ$2,'Detailed Cash Flow'!$F$59:$AJ$59))</f>
        <v>396759.2164568241</v>
      </c>
      <c r="J14" s="121">
        <f ca="1">IF($B14&gt;'Financial Inputs'!$G$24,"",LOOKUP($B14,'Detailed Cash Flow'!$F$2:$AJ$2,'Detailed Cash Flow'!$F$60:$AJ$60))</f>
        <v>396759.2164568241</v>
      </c>
      <c r="K14" s="121">
        <f ca="1">IF($B14&gt;'Financial Inputs'!$G$24,"",LOOKUP($B14,'Detailed Cash Flow'!$F$2:$AJ$2,'Detailed Cash Flow'!$F$62:$AJ$62)+LOOKUP($B14,'Detailed Cash Flow'!$F$2:$AJ$2,'Detailed Cash Flow'!$F$64:$AJ$64))</f>
        <v>-92057.621655650379</v>
      </c>
      <c r="L14" s="121">
        <f ca="1">IF($B14&gt;'Financial Inputs'!$G$24,"",LOOKUP($B14,'Detailed Cash Flow'!$F$2:$AJ$2,'Detailed Cash Flow'!$F$63:$AJ$63)+LOOKUP($B14,'Detailed Cash Flow'!$F$2:$AJ$2,'Detailed Cash Flow'!$F$65:$AJ$65))</f>
        <v>-27773.145151977689</v>
      </c>
      <c r="M14" s="121">
        <f ca="1">IF($B14&gt;'Financial Inputs'!$G$24,"",H14+K14+L14)</f>
        <v>220065.1752398228</v>
      </c>
      <c r="N14" s="121">
        <f ca="1">IF($B14&gt;'Financial Inputs'!$G$24,N13,N13+M14)</f>
        <v>415930.51963896106</v>
      </c>
      <c r="O14" s="124">
        <f ca="1">IF($B14&gt;'Financial Inputs'!$G$24,"",LOOKUP($B14,'Detailed Cash Flow'!$F$2:$AJ$2,'Detailed Cash Flow'!$F$67:$AJ$67))</f>
        <v>3.8066707122931698E-2</v>
      </c>
      <c r="P14" s="125">
        <f>IF($B14&gt;'Financial Inputs'!$G$24,"",LOOKUP($B14,'Detailed Cash Flow'!$F$2:$AJ$2,'Detailed Cash Flow'!$F$39:$AJ$39))</f>
        <v>3.5899280355404604</v>
      </c>
      <c r="R14" s="238">
        <f ca="1">IF($B14&gt;'Financial Inputs'!$G$24,"",D14+K14+L14)</f>
        <v>804131.5280756345</v>
      </c>
      <c r="S14" s="239">
        <f>IF($B14&gt;'Financial Inputs'!$G$24,"",-(E14+F14+G14))</f>
        <v>584066.35283581156</v>
      </c>
      <c r="T14" s="976">
        <f ca="1">T13*(1+'Financial Inputs'!$G$55)</f>
        <v>57134.968395837946</v>
      </c>
      <c r="U14" s="975">
        <f ca="1">T14/(1+'Financial Inputs'!$G$80)^B14</f>
        <v>26653.88442470826</v>
      </c>
      <c r="V14" s="975">
        <f ca="1">M14/(1+'Financial Inputs'!$G$80)^B14</f>
        <v>102662.02837652557</v>
      </c>
    </row>
    <row r="15" spans="2:22" x14ac:dyDescent="0.2">
      <c r="B15" s="122">
        <v>9</v>
      </c>
      <c r="C15" s="397">
        <f>IF($B15&gt;'Financial Inputs'!$G$24,"",LOOKUP($B15,'Detailed Cash Flow'!$F$2:$AJ$2,'Detailed Cash Flow'!$F$14:$AJ$14))</f>
        <v>0.10544934429020392</v>
      </c>
      <c r="D15" s="121">
        <f>IF($B15&gt;'Financial Inputs'!$G$24,"",LOOKUP($B15,'Detailed Cash Flow'!$F$2:$AJ$2,'Detailed Cash Flow'!$F$25:$AJ$25))</f>
        <v>942441.54078092787</v>
      </c>
      <c r="E15" s="121">
        <f>IF($B15&gt;'Financial Inputs'!$G$24,"",LOOKUP($B15,'Detailed Cash Flow'!$F$2:$AJ$2,'Detailed Cash Flow'!$F$33:$AJ$33))</f>
        <v>-373767.89314847137</v>
      </c>
      <c r="F15" s="121">
        <f>IF($B15&gt;'Financial Inputs'!$G$24,"",LOOKUP($B15,'Detailed Cash Flow'!$F$2:$AJ$2,'Detailed Cash Flow'!$F$127:$AJ$127)+LOOKUP($B15,'Detailed Cash Flow'!$F$2:$AJ$2,'Detailed Cash Flow'!$F$42:$AJ$42))</f>
        <v>-131768.21036609641</v>
      </c>
      <c r="G15" s="121">
        <f>IF($B15&gt;'Financial Inputs'!$G$24,"",LOOKUP($B15,'Detailed Cash Flow'!$F$2:$AJ$2,'Detailed Cash Flow'!$F$84:$AJ$84)+LOOKUP($B15,'Detailed Cash Flow'!$F$2:$AJ$2,'Detailed Cash Flow'!$F$47:$AJ$47))</f>
        <v>0</v>
      </c>
      <c r="H15" s="121">
        <f>IF($B15&gt;'Financial Inputs'!$G$24,"",SUM(D15:G15))</f>
        <v>436905.4372663601</v>
      </c>
      <c r="I15" s="121">
        <f ca="1">IF($B15&gt;'Financial Inputs'!$G$24,"",LOOKUP($B15,'Detailed Cash Flow'!$F$2:$AJ$2,'Detailed Cash Flow'!$F$59:$AJ$59))</f>
        <v>501745.33694170183</v>
      </c>
      <c r="J15" s="121">
        <f ca="1">IF($B15&gt;'Financial Inputs'!$G$24,"",LOOKUP($B15,'Detailed Cash Flow'!$F$2:$AJ$2,'Detailed Cash Flow'!$F$60:$AJ$60))</f>
        <v>501745.33694170183</v>
      </c>
      <c r="K15" s="121">
        <f ca="1">IF($B15&gt;'Financial Inputs'!$G$24,"",LOOKUP($B15,'Detailed Cash Flow'!$F$2:$AJ$2,'Detailed Cash Flow'!$F$62:$AJ$62)+LOOKUP($B15,'Detailed Cash Flow'!$F$2:$AJ$2,'Detailed Cash Flow'!$F$64:$AJ$64))</f>
        <v>-125488.85380745714</v>
      </c>
      <c r="L15" s="121">
        <f ca="1">IF($B15&gt;'Financial Inputs'!$G$24,"",LOOKUP($B15,'Detailed Cash Flow'!$F$2:$AJ$2,'Detailed Cash Flow'!$F$63:$AJ$63)+LOOKUP($B15,'Detailed Cash Flow'!$F$2:$AJ$2,'Detailed Cash Flow'!$F$65:$AJ$65))</f>
        <v>-35122.173585919132</v>
      </c>
      <c r="M15" s="121">
        <f ca="1">IF($B15&gt;'Financial Inputs'!$G$24,"",H15+K15+L15)</f>
        <v>276294.40987298382</v>
      </c>
      <c r="N15" s="121">
        <f ca="1">IF($B15&gt;'Financial Inputs'!$G$24,N14,N14+M15)</f>
        <v>692224.92951194488</v>
      </c>
      <c r="O15" s="124">
        <f ca="1">IF($B15&gt;'Financial Inputs'!$G$24,"",LOOKUP($B15,'Detailed Cash Flow'!$F$2:$AJ$2,'Detailed Cash Flow'!$F$67:$AJ$67))</f>
        <v>5.6318268441500674E-2</v>
      </c>
      <c r="P15" s="125">
        <f>IF($B15&gt;'Financial Inputs'!$G$24,"",LOOKUP($B15,'Detailed Cash Flow'!$F$2:$AJ$2,'Detailed Cash Flow'!$F$39:$AJ$39))</f>
        <v>4.3257020812012765</v>
      </c>
      <c r="R15" s="238">
        <f ca="1">IF($B15&gt;'Financial Inputs'!$G$24,"",D15+K15+L15)</f>
        <v>781830.51338755165</v>
      </c>
      <c r="S15" s="239">
        <f>IF($B15&gt;'Financial Inputs'!$G$24,"",-(E15+F15+G15))</f>
        <v>505536.10351456777</v>
      </c>
      <c r="T15" s="976">
        <f ca="1">T14*(1+'Financial Inputs'!$G$55)</f>
        <v>58277.667763754704</v>
      </c>
      <c r="U15" s="975">
        <f ca="1">T15/(1+'Financial Inputs'!$G$80)^B15</f>
        <v>24715.420102911296</v>
      </c>
      <c r="V15" s="975">
        <f ca="1">M15/(1+'Financial Inputs'!$G$80)^B15</f>
        <v>117175.80119676355</v>
      </c>
    </row>
    <row r="16" spans="2:22" x14ac:dyDescent="0.2">
      <c r="B16" s="122">
        <v>10</v>
      </c>
      <c r="C16" s="397">
        <f>IF($B16&gt;'Financial Inputs'!$G$24,"",LOOKUP($B16,'Detailed Cash Flow'!$F$2:$AJ$2,'Detailed Cash Flow'!$F$14:$AJ$14))</f>
        <v>0.10755833117600799</v>
      </c>
      <c r="D16" s="121">
        <f>IF($B16&gt;'Financial Inputs'!$G$24,"",LOOKUP($B16,'Detailed Cash Flow'!$F$2:$AJ$2,'Detailed Cash Flow'!$F$25:$AJ$25))</f>
        <v>961290.37159654638</v>
      </c>
      <c r="E16" s="121">
        <f>IF($B16&gt;'Financial Inputs'!$G$24,"",LOOKUP($B16,'Detailed Cash Flow'!$F$2:$AJ$2,'Detailed Cash Flow'!$F$33:$AJ$33))</f>
        <v>-381243.25101144076</v>
      </c>
      <c r="F16" s="121">
        <f>IF($B16&gt;'Financial Inputs'!$G$24,"",LOOKUP($B16,'Detailed Cash Flow'!$F$2:$AJ$2,'Detailed Cash Flow'!$F$127:$AJ$127)+LOOKUP($B16,'Detailed Cash Flow'!$F$2:$AJ$2,'Detailed Cash Flow'!$F$42:$AJ$42))</f>
        <v>-131463.89579250262</v>
      </c>
      <c r="G16" s="121">
        <f>IF($B16&gt;'Financial Inputs'!$G$24,"",LOOKUP($B16,'Detailed Cash Flow'!$F$2:$AJ$2,'Detailed Cash Flow'!$F$84:$AJ$84)+LOOKUP($B16,'Detailed Cash Flow'!$F$2:$AJ$2,'Detailed Cash Flow'!$F$47:$AJ$47))</f>
        <v>-153342.7084823318</v>
      </c>
      <c r="H16" s="121">
        <f>IF($B16&gt;'Financial Inputs'!$G$24,"",SUM(D16:G16))</f>
        <v>295240.51631027122</v>
      </c>
      <c r="I16" s="121">
        <f ca="1">IF($B16&gt;'Financial Inputs'!$G$24,"",LOOKUP($B16,'Detailed Cash Flow'!$F$2:$AJ$2,'Detailed Cash Flow'!$F$59:$AJ$59))</f>
        <v>502728.18418245955</v>
      </c>
      <c r="J16" s="121">
        <f ca="1">IF($B16&gt;'Financial Inputs'!$G$24,"",LOOKUP($B16,'Detailed Cash Flow'!$F$2:$AJ$2,'Detailed Cash Flow'!$F$60:$AJ$60))</f>
        <v>502728.18418245955</v>
      </c>
      <c r="K16" s="121">
        <f ca="1">IF($B16&gt;'Financial Inputs'!$G$24,"",LOOKUP($B16,'Detailed Cash Flow'!$F$2:$AJ$2,'Detailed Cash Flow'!$F$62:$AJ$62)+LOOKUP($B16,'Detailed Cash Flow'!$F$2:$AJ$2,'Detailed Cash Flow'!$F$64:$AJ$64))</f>
        <v>-125052.18551698246</v>
      </c>
      <c r="L16" s="121">
        <f ca="1">IF($B16&gt;'Financial Inputs'!$G$24,"",LOOKUP($B16,'Detailed Cash Flow'!$F$2:$AJ$2,'Detailed Cash Flow'!$F$63:$AJ$63)+LOOKUP($B16,'Detailed Cash Flow'!$F$2:$AJ$2,'Detailed Cash Flow'!$F$65:$AJ$65))</f>
        <v>-35190.972892772174</v>
      </c>
      <c r="M16" s="121">
        <f ca="1">IF($B16&gt;'Financial Inputs'!$G$24,"",H16+K16+L16)</f>
        <v>134997.3579005166</v>
      </c>
      <c r="N16" s="121">
        <f ca="1">IF($B16&gt;'Financial Inputs'!$G$24,N15,N15+M16)</f>
        <v>827222.28741246148</v>
      </c>
      <c r="O16" s="124">
        <f ca="1">IF($B16&gt;'Financial Inputs'!$G$24,"",LOOKUP($B16,'Detailed Cash Flow'!$F$2:$AJ$2,'Detailed Cash Flow'!$F$67:$AJ$67))</f>
        <v>6.3614881190513284E-2</v>
      </c>
      <c r="P16" s="125">
        <f>IF($B16&gt;'Financial Inputs'!$G$24,"",LOOKUP($B16,'Detailed Cash Flow'!$F$2:$AJ$2,'Detailed Cash Flow'!$F$39:$AJ$39))</f>
        <v>3.2457916261379252</v>
      </c>
      <c r="R16" s="238">
        <f ca="1">IF($B16&gt;'Financial Inputs'!$G$24,"",D16+K16+L16)</f>
        <v>801047.21318679175</v>
      </c>
      <c r="S16" s="239">
        <f>IF($B16&gt;'Financial Inputs'!$G$24,"",-(E16+F16+G16))</f>
        <v>666049.85528627515</v>
      </c>
      <c r="T16" s="976">
        <f ca="1">T15*(1+'Financial Inputs'!$G$55)</f>
        <v>59443.221119029797</v>
      </c>
      <c r="U16" s="975">
        <f ca="1">T16/(1+'Financial Inputs'!$G$80)^B16</f>
        <v>22917.935004517742</v>
      </c>
      <c r="V16" s="975">
        <f ca="1">M16/(1+'Financial Inputs'!$G$80)^B16</f>
        <v>52047.32542926092</v>
      </c>
    </row>
    <row r="17" spans="2:22" x14ac:dyDescent="0.2">
      <c r="B17" s="127">
        <v>11</v>
      </c>
      <c r="C17" s="397">
        <f>IF($B17&gt;'Financial Inputs'!$G$24,"",LOOKUP($B17,'Detailed Cash Flow'!$F$2:$AJ$2,'Detailed Cash Flow'!$F$14:$AJ$14))</f>
        <v>0.10970949779952816</v>
      </c>
      <c r="D17" s="121">
        <f>IF($B17&gt;'Financial Inputs'!$G$24,"",LOOKUP($B17,'Detailed Cash Flow'!$F$2:$AJ$2,'Detailed Cash Flow'!$F$25:$AJ$25))</f>
        <v>934921.33879010519</v>
      </c>
      <c r="E17" s="121">
        <f>IF($B17&gt;'Financial Inputs'!$G$24,"",LOOKUP($B17,'Detailed Cash Flow'!$F$2:$AJ$2,'Detailed Cash Flow'!$F$33:$AJ$33))</f>
        <v>-379156.79381904477</v>
      </c>
      <c r="F17" s="121">
        <f>IF($B17&gt;'Financial Inputs'!$G$24,"",LOOKUP($B17,'Detailed Cash Flow'!$F$2:$AJ$2,'Detailed Cash Flow'!$F$127:$AJ$127)+LOOKUP($B17,'Detailed Cash Flow'!$F$2:$AJ$2,'Detailed Cash Flow'!$F$42:$AJ$42))</f>
        <v>0</v>
      </c>
      <c r="G17" s="121">
        <f>IF($B17&gt;'Financial Inputs'!$G$24,"",LOOKUP($B17,'Detailed Cash Flow'!$F$2:$AJ$2,'Detailed Cash Flow'!$F$84:$AJ$84)+LOOKUP($B17,'Detailed Cash Flow'!$F$2:$AJ$2,'Detailed Cash Flow'!$F$47:$AJ$47))</f>
        <v>-90815.271642318723</v>
      </c>
      <c r="H17" s="121">
        <f>IF($B17&gt;'Financial Inputs'!$G$24,"",SUM(D17:G17))</f>
        <v>464949.27332874178</v>
      </c>
      <c r="I17" s="121">
        <f ca="1">IF($B17&gt;'Financial Inputs'!$G$24,"",LOOKUP($B17,'Detailed Cash Flow'!$F$2:$AJ$2,'Detailed Cash Flow'!$F$59:$AJ$59))</f>
        <v>468047.34508425591</v>
      </c>
      <c r="J17" s="121">
        <f ca="1">IF($B17&gt;'Financial Inputs'!$G$24,"",LOOKUP($B17,'Detailed Cash Flow'!$F$2:$AJ$2,'Detailed Cash Flow'!$F$60:$AJ$60))</f>
        <v>468047.34508425591</v>
      </c>
      <c r="K17" s="121">
        <f ca="1">IF($B17&gt;'Financial Inputs'!$G$24,"",LOOKUP($B17,'Detailed Cash Flow'!$F$2:$AJ$2,'Detailed Cash Flow'!$F$62:$AJ$62)+LOOKUP($B17,'Detailed Cash Flow'!$F$2:$AJ$2,'Detailed Cash Flow'!$F$64:$AJ$64))</f>
        <v>-152349.41082492529</v>
      </c>
      <c r="L17" s="121">
        <f ca="1">IF($B17&gt;'Financial Inputs'!$G$24,"",LOOKUP($B17,'Detailed Cash Flow'!$F$2:$AJ$2,'Detailed Cash Flow'!$F$63:$AJ$63)+LOOKUP($B17,'Detailed Cash Flow'!$F$2:$AJ$2,'Detailed Cash Flow'!$F$65:$AJ$65))</f>
        <v>-32763.314155897915</v>
      </c>
      <c r="M17" s="121">
        <f ca="1">IF($B17&gt;'Financial Inputs'!$G$24,"",H17+K17+L17)</f>
        <v>279836.54834791855</v>
      </c>
      <c r="N17" s="121">
        <f ca="1">IF($B17&gt;'Financial Inputs'!$G$24,N16,N16+M17)</f>
        <v>1107058.8357603801</v>
      </c>
      <c r="O17" s="124">
        <f ca="1">IF($B17&gt;'Financial Inputs'!$G$24,"",LOOKUP($B17,'Detailed Cash Flow'!$F$2:$AJ$2,'Detailed Cash Flow'!$F$67:$AJ$67))</f>
        <v>7.6049938675898154E-2</v>
      </c>
      <c r="P17" s="125" t="str">
        <f>IF($B17&gt;'Financial Inputs'!$G$24,"",LOOKUP($B17,'Detailed Cash Flow'!$F$2:$AJ$2,'Detailed Cash Flow'!$F$39:$AJ$39))</f>
        <v>N/A</v>
      </c>
      <c r="R17" s="238">
        <f ca="1">IF($B17&gt;'Financial Inputs'!$G$24,"",D17+K17+L17)</f>
        <v>749808.61380928196</v>
      </c>
      <c r="S17" s="239">
        <f>IF($B17&gt;'Financial Inputs'!$G$24,"",-(E17+F17+G17))</f>
        <v>469972.06546136353</v>
      </c>
      <c r="T17" s="976">
        <f ca="1">T16*(1+'Financial Inputs'!$G$55)</f>
        <v>60632.085541410393</v>
      </c>
      <c r="U17" s="975">
        <f ca="1">T17/(1+'Financial Inputs'!$G$80)^B17</f>
        <v>21251.176095098268</v>
      </c>
      <c r="V17" s="975">
        <f ca="1">M17/(1+'Financial Inputs'!$G$80)^B17</f>
        <v>98081.003047875114</v>
      </c>
    </row>
    <row r="18" spans="2:22" x14ac:dyDescent="0.2">
      <c r="B18" s="122">
        <v>12</v>
      </c>
      <c r="C18" s="397">
        <f>IF($B18&gt;'Financial Inputs'!$G$24,"",LOOKUP($B18,'Detailed Cash Flow'!$F$2:$AJ$2,'Detailed Cash Flow'!$F$14:$AJ$14))</f>
        <v>0.11190368775551872</v>
      </c>
      <c r="D18" s="121">
        <f>IF($B18&gt;'Financial Inputs'!$G$24,"",LOOKUP($B18,'Detailed Cash Flow'!$F$2:$AJ$2,'Detailed Cash Flow'!$F$25:$AJ$25))</f>
        <v>953619.76556590712</v>
      </c>
      <c r="E18" s="121">
        <f>IF($B18&gt;'Financial Inputs'!$G$24,"",LOOKUP($B18,'Detailed Cash Flow'!$F$2:$AJ$2,'Detailed Cash Flow'!$F$33:$AJ$33))</f>
        <v>-335803.02886152465</v>
      </c>
      <c r="F18" s="121">
        <f>IF($B18&gt;'Financial Inputs'!$G$24,"",LOOKUP($B18,'Detailed Cash Flow'!$F$2:$AJ$2,'Detailed Cash Flow'!$F$127:$AJ$127)+LOOKUP($B18,'Detailed Cash Flow'!$F$2:$AJ$2,'Detailed Cash Flow'!$F$42:$AJ$42))</f>
        <v>0</v>
      </c>
      <c r="G18" s="121">
        <f>IF($B18&gt;'Financial Inputs'!$G$24,"",LOOKUP($B18,'Detailed Cash Flow'!$F$2:$AJ$2,'Detailed Cash Flow'!$F$84:$AJ$84)+LOOKUP($B18,'Detailed Cash Flow'!$F$2:$AJ$2,'Detailed Cash Flow'!$F$47:$AJ$47))</f>
        <v>0</v>
      </c>
      <c r="H18" s="121">
        <f>IF($B18&gt;'Financial Inputs'!$G$24,"",SUM(D18:G18))</f>
        <v>617816.73670438246</v>
      </c>
      <c r="I18" s="121">
        <f ca="1">IF($B18&gt;'Financial Inputs'!$G$24,"",LOOKUP($B18,'Detailed Cash Flow'!$F$2:$AJ$2,'Detailed Cash Flow'!$F$59:$AJ$59))</f>
        <v>538832.55508606392</v>
      </c>
      <c r="J18" s="121">
        <f ca="1">IF($B18&gt;'Financial Inputs'!$G$24,"",LOOKUP($B18,'Detailed Cash Flow'!$F$2:$AJ$2,'Detailed Cash Flow'!$F$60:$AJ$60))</f>
        <v>538832.55508606392</v>
      </c>
      <c r="K18" s="121">
        <f ca="1">IF($B18&gt;'Financial Inputs'!$G$24,"",LOOKUP($B18,'Detailed Cash Flow'!$F$2:$AJ$2,'Detailed Cash Flow'!$F$62:$AJ$62)+LOOKUP($B18,'Detailed Cash Flow'!$F$2:$AJ$2,'Detailed Cash Flow'!$F$64:$AJ$64))</f>
        <v>-175389.99668051378</v>
      </c>
      <c r="L18" s="121">
        <f ca="1">IF($B18&gt;'Financial Inputs'!$G$24,"",LOOKUP($B18,'Detailed Cash Flow'!$F$2:$AJ$2,'Detailed Cash Flow'!$F$63:$AJ$63)+LOOKUP($B18,'Detailed Cash Flow'!$F$2:$AJ$2,'Detailed Cash Flow'!$F$65:$AJ$65))</f>
        <v>-37718.278856024481</v>
      </c>
      <c r="M18" s="121">
        <f ca="1">IF($B18&gt;'Financial Inputs'!$G$24,"",H18+K18+L18)</f>
        <v>404708.46116784419</v>
      </c>
      <c r="N18" s="121">
        <f ca="1">IF($B18&gt;'Financial Inputs'!$G$24,N17,N17+M18)</f>
        <v>1511767.2969282244</v>
      </c>
      <c r="O18" s="124">
        <f ca="1">IF($B18&gt;'Financial Inputs'!$G$24,"",LOOKUP($B18,'Detailed Cash Flow'!$F$2:$AJ$2,'Detailed Cash Flow'!$F$67:$AJ$67))</f>
        <v>8.9848343160307431E-2</v>
      </c>
      <c r="P18" s="125" t="str">
        <f>IF($B18&gt;'Financial Inputs'!$G$24,"",LOOKUP($B18,'Detailed Cash Flow'!$F$2:$AJ$2,'Detailed Cash Flow'!$F$39:$AJ$39))</f>
        <v>N/A</v>
      </c>
      <c r="R18" s="238">
        <f ca="1">IF($B18&gt;'Financial Inputs'!$G$24,"",D18+K18+L18)</f>
        <v>740511.4900293689</v>
      </c>
      <c r="S18" s="239">
        <f>IF($B18&gt;'Financial Inputs'!$G$24,"",-(E18+F18+G18))</f>
        <v>335803.02886152465</v>
      </c>
      <c r="T18" s="976">
        <f ca="1">T17*(1+'Financial Inputs'!$G$55)</f>
        <v>61844.727252238605</v>
      </c>
      <c r="U18" s="975">
        <f ca="1">T18/(1+'Financial Inputs'!$G$80)^B18</f>
        <v>19705.636015454758</v>
      </c>
      <c r="V18" s="975">
        <f ca="1">M18/(1+'Financial Inputs'!$G$80)^B18</f>
        <v>128952.58791621028</v>
      </c>
    </row>
    <row r="19" spans="2:22" x14ac:dyDescent="0.2">
      <c r="B19" s="122">
        <v>13</v>
      </c>
      <c r="C19" s="397">
        <f>IF($B19&gt;'Financial Inputs'!$G$24,"",LOOKUP($B19,'Detailed Cash Flow'!$F$2:$AJ$2,'Detailed Cash Flow'!$F$14:$AJ$14))</f>
        <v>0.11414176151062909</v>
      </c>
      <c r="D19" s="121">
        <f>IF($B19&gt;'Financial Inputs'!$G$24,"",LOOKUP($B19,'Detailed Cash Flow'!$F$2:$AJ$2,'Detailed Cash Flow'!$F$25:$AJ$25))</f>
        <v>972692.16087722545</v>
      </c>
      <c r="E19" s="121">
        <f>IF($B19&gt;'Financial Inputs'!$G$24,"",LOOKUP($B19,'Detailed Cash Flow'!$F$2:$AJ$2,'Detailed Cash Flow'!$F$33:$AJ$33))</f>
        <v>-404578.38791934907</v>
      </c>
      <c r="F19" s="121">
        <f>IF($B19&gt;'Financial Inputs'!$G$24,"",LOOKUP($B19,'Detailed Cash Flow'!$F$2:$AJ$2,'Detailed Cash Flow'!$F$127:$AJ$127)+LOOKUP($B19,'Detailed Cash Flow'!$F$2:$AJ$2,'Detailed Cash Flow'!$F$42:$AJ$42))</f>
        <v>0</v>
      </c>
      <c r="G19" s="121">
        <f>IF($B19&gt;'Financial Inputs'!$G$24,"",LOOKUP($B19,'Detailed Cash Flow'!$F$2:$AJ$2,'Detailed Cash Flow'!$F$84:$AJ$84)+LOOKUP($B19,'Detailed Cash Flow'!$F$2:$AJ$2,'Detailed Cash Flow'!$F$47:$AJ$47))</f>
        <v>-94484.208616668402</v>
      </c>
      <c r="H19" s="121">
        <f>IF($B19&gt;'Financial Inputs'!$G$24,"",SUM(D19:G19))</f>
        <v>473629.56434120791</v>
      </c>
      <c r="I19" s="121">
        <f ca="1">IF($B19&gt;'Financial Inputs'!$G$24,"",LOOKUP($B19,'Detailed Cash Flow'!$F$2:$AJ$2,'Detailed Cash Flow'!$F$59:$AJ$59))</f>
        <v>511067.37237338338</v>
      </c>
      <c r="J19" s="121">
        <f ca="1">IF($B19&gt;'Financial Inputs'!$G$24,"",LOOKUP($B19,'Detailed Cash Flow'!$F$2:$AJ$2,'Detailed Cash Flow'!$F$60:$AJ$60))</f>
        <v>511067.37237338338</v>
      </c>
      <c r="K19" s="121">
        <f ca="1">IF($B19&gt;'Financial Inputs'!$G$24,"",LOOKUP($B19,'Detailed Cash Flow'!$F$2:$AJ$2,'Detailed Cash Flow'!$F$62:$AJ$62)+LOOKUP($B19,'Detailed Cash Flow'!$F$2:$AJ$2,'Detailed Cash Flow'!$F$64:$AJ$64))</f>
        <v>-166352.42970753627</v>
      </c>
      <c r="L19" s="121">
        <f ca="1">IF($B19&gt;'Financial Inputs'!$G$24,"",LOOKUP($B19,'Detailed Cash Flow'!$F$2:$AJ$2,'Detailed Cash Flow'!$F$63:$AJ$63)+LOOKUP($B19,'Detailed Cash Flow'!$F$2:$AJ$2,'Detailed Cash Flow'!$F$65:$AJ$65))</f>
        <v>-35774.71606613684</v>
      </c>
      <c r="M19" s="121">
        <f ca="1">IF($B19&gt;'Financial Inputs'!$G$24,"",H19+K19+L19)</f>
        <v>271502.41856753477</v>
      </c>
      <c r="N19" s="121">
        <f ca="1">IF($B19&gt;'Financial Inputs'!$G$24,N18,N18+M19)</f>
        <v>1783269.7154957592</v>
      </c>
      <c r="O19" s="124">
        <f ca="1">IF($B19&gt;'Financial Inputs'!$G$24,"",LOOKUP($B19,'Detailed Cash Flow'!$F$2:$AJ$2,'Detailed Cash Flow'!$F$67:$AJ$67))</f>
        <v>9.7079495712845132E-2</v>
      </c>
      <c r="P19" s="125" t="str">
        <f>IF($B19&gt;'Financial Inputs'!$G$24,"",LOOKUP($B19,'Detailed Cash Flow'!$F$2:$AJ$2,'Detailed Cash Flow'!$F$39:$AJ$39))</f>
        <v>N/A</v>
      </c>
      <c r="R19" s="238">
        <f ca="1">IF($B19&gt;'Financial Inputs'!$G$24,"",D19+K19+L19)</f>
        <v>770565.01510355237</v>
      </c>
      <c r="S19" s="239">
        <f>IF($B19&gt;'Financial Inputs'!$G$24,"",-(E19+F19+G19))</f>
        <v>499062.59653601749</v>
      </c>
      <c r="T19" s="976">
        <f ca="1">T18*(1+'Financial Inputs'!$G$55)</f>
        <v>63081.621797283377</v>
      </c>
      <c r="U19" s="975">
        <f ca="1">T19/(1+'Financial Inputs'!$G$80)^B19</f>
        <v>18272.498850694414</v>
      </c>
      <c r="V19" s="975">
        <f ca="1">M19/(1+'Financial Inputs'!$G$80)^B19</f>
        <v>78644.579671375541</v>
      </c>
    </row>
    <row r="20" spans="2:22" x14ac:dyDescent="0.2">
      <c r="B20" s="127">
        <v>14</v>
      </c>
      <c r="C20" s="397">
        <f>IF($B20&gt;'Financial Inputs'!$G$24,"",LOOKUP($B20,'Detailed Cash Flow'!$F$2:$AJ$2,'Detailed Cash Flow'!$F$14:$AJ$14))</f>
        <v>0.11642459674084166</v>
      </c>
      <c r="D20" s="121">
        <f>IF($B20&gt;'Financial Inputs'!$G$24,"",LOOKUP($B20,'Detailed Cash Flow'!$F$2:$AJ$2,'Detailed Cash Flow'!$F$25:$AJ$25))</f>
        <v>992146.00409476983</v>
      </c>
      <c r="E20" s="121">
        <f>IF($B20&gt;'Financial Inputs'!$G$24,"",LOOKUP($B20,'Detailed Cash Flow'!$F$2:$AJ$2,'Detailed Cash Flow'!$F$33:$AJ$33))</f>
        <v>-412669.95567773603</v>
      </c>
      <c r="F20" s="121">
        <f>IF($B20&gt;'Financial Inputs'!$G$24,"",LOOKUP($B20,'Detailed Cash Flow'!$F$2:$AJ$2,'Detailed Cash Flow'!$F$127:$AJ$127)+LOOKUP($B20,'Detailed Cash Flow'!$F$2:$AJ$2,'Detailed Cash Flow'!$F$42:$AJ$42))</f>
        <v>0</v>
      </c>
      <c r="G20" s="121">
        <f>IF($B20&gt;'Financial Inputs'!$G$24,"",LOOKUP($B20,'Detailed Cash Flow'!$F$2:$AJ$2,'Detailed Cash Flow'!$F$84:$AJ$84)+LOOKUP($B20,'Detailed Cash Flow'!$F$2:$AJ$2,'Detailed Cash Flow'!$F$47:$AJ$47))</f>
        <v>0</v>
      </c>
      <c r="H20" s="121">
        <f>IF($B20&gt;'Financial Inputs'!$G$24,"",SUM(D20:G20))</f>
        <v>579476.04841703386</v>
      </c>
      <c r="I20" s="121">
        <f ca="1">IF($B20&gt;'Financial Inputs'!$G$24,"",LOOKUP($B20,'Detailed Cash Flow'!$F$2:$AJ$2,'Detailed Cash Flow'!$F$59:$AJ$59))</f>
        <v>511094.52697836654</v>
      </c>
      <c r="J20" s="121">
        <f ca="1">IF($B20&gt;'Financial Inputs'!$G$24,"",LOOKUP($B20,'Detailed Cash Flow'!$F$2:$AJ$2,'Detailed Cash Flow'!$F$60:$AJ$60))</f>
        <v>511094.52697836654</v>
      </c>
      <c r="K20" s="121">
        <f ca="1">IF($B20&gt;'Financial Inputs'!$G$24,"",LOOKUP($B20,'Detailed Cash Flow'!$F$2:$AJ$2,'Detailed Cash Flow'!$F$62:$AJ$62)+LOOKUP($B20,'Detailed Cash Flow'!$F$2:$AJ$2,'Detailed Cash Flow'!$F$64:$AJ$64))</f>
        <v>-166361.26853145831</v>
      </c>
      <c r="L20" s="121">
        <f ca="1">IF($B20&gt;'Financial Inputs'!$G$24,"",LOOKUP($B20,'Detailed Cash Flow'!$F$2:$AJ$2,'Detailed Cash Flow'!$F$63:$AJ$63)+LOOKUP($B20,'Detailed Cash Flow'!$F$2:$AJ$2,'Detailed Cash Flow'!$F$65:$AJ$65))</f>
        <v>-35776.61688848566</v>
      </c>
      <c r="M20" s="121">
        <f ca="1">IF($B20&gt;'Financial Inputs'!$G$24,"",H20+K20+L20)</f>
        <v>377338.16299708985</v>
      </c>
      <c r="N20" s="121">
        <f ca="1">IF($B20&gt;'Financial Inputs'!$G$24,N19,N19+M20)</f>
        <v>2160607.8784928489</v>
      </c>
      <c r="O20" s="124">
        <f ca="1">IF($B20&gt;'Financial Inputs'!$G$24,"",LOOKUP($B20,'Detailed Cash Flow'!$F$2:$AJ$2,'Detailed Cash Flow'!$F$67:$AJ$67))</f>
        <v>0.10512581335377025</v>
      </c>
      <c r="P20" s="125" t="str">
        <f>IF($B20&gt;'Financial Inputs'!$G$24,"",LOOKUP($B20,'Detailed Cash Flow'!$F$2:$AJ$2,'Detailed Cash Flow'!$F$39:$AJ$39))</f>
        <v>N/A</v>
      </c>
      <c r="R20" s="238">
        <f ca="1">IF($B20&gt;'Financial Inputs'!$G$24,"",D20+K20+L20)</f>
        <v>790008.11867482588</v>
      </c>
      <c r="S20" s="239">
        <f>IF($B20&gt;'Financial Inputs'!$G$24,"",-(E20+F20+G20))</f>
        <v>412669.95567773603</v>
      </c>
      <c r="T20" s="976">
        <f ca="1">T19*(1+'Financial Inputs'!$G$55)</f>
        <v>64343.254233229047</v>
      </c>
      <c r="U20" s="975">
        <f ca="1">T20/(1+'Financial Inputs'!$G$80)^B20</f>
        <v>16943.589843371181</v>
      </c>
      <c r="V20" s="975">
        <f ca="1">M20/(1+'Financial Inputs'!$G$80)^B20</f>
        <v>99364.931759575629</v>
      </c>
    </row>
    <row r="21" spans="2:22" x14ac:dyDescent="0.2">
      <c r="B21" s="122">
        <v>15</v>
      </c>
      <c r="C21" s="397">
        <f>IF($B21&gt;'Financial Inputs'!$G$24,"",LOOKUP($B21,'Detailed Cash Flow'!$F$2:$AJ$2,'Detailed Cash Flow'!$F$14:$AJ$14))</f>
        <v>0.11875308867565851</v>
      </c>
      <c r="D21" s="121">
        <f>IF($B21&gt;'Financial Inputs'!$G$24,"",LOOKUP($B21,'Detailed Cash Flow'!$F$2:$AJ$2,'Detailed Cash Flow'!$F$25:$AJ$25))</f>
        <v>1011988.9241766651</v>
      </c>
      <c r="E21" s="121">
        <f>IF($B21&gt;'Financial Inputs'!$G$24,"",LOOKUP($B21,'Detailed Cash Flow'!$F$2:$AJ$2,'Detailed Cash Flow'!$F$33:$AJ$33))</f>
        <v>-420923.35479129077</v>
      </c>
      <c r="F21" s="121">
        <f>IF($B21&gt;'Financial Inputs'!$G$24,"",LOOKUP($B21,'Detailed Cash Flow'!$F$2:$AJ$2,'Detailed Cash Flow'!$F$127:$AJ$127)+LOOKUP($B21,'Detailed Cash Flow'!$F$2:$AJ$2,'Detailed Cash Flow'!$F$42:$AJ$42))</f>
        <v>0</v>
      </c>
      <c r="G21" s="121">
        <f>IF($B21&gt;'Financial Inputs'!$G$24,"",LOOKUP($B21,'Detailed Cash Flow'!$F$2:$AJ$2,'Detailed Cash Flow'!$F$84:$AJ$84)+LOOKUP($B21,'Detailed Cash Flow'!$F$2:$AJ$2,'Detailed Cash Flow'!$F$47:$AJ$47))</f>
        <v>0</v>
      </c>
      <c r="H21" s="121">
        <f>IF($B21&gt;'Financial Inputs'!$G$24,"",SUM(D21:G21))</f>
        <v>591065.56938537443</v>
      </c>
      <c r="I21" s="121">
        <f ca="1">IF($B21&gt;'Financial Inputs'!$G$24,"",LOOKUP($B21,'Detailed Cash Flow'!$F$2:$AJ$2,'Detailed Cash Flow'!$F$59:$AJ$59))</f>
        <v>543607.58247839718</v>
      </c>
      <c r="J21" s="121">
        <f ca="1">IF($B21&gt;'Financial Inputs'!$G$24,"",LOOKUP($B21,'Detailed Cash Flow'!$F$2:$AJ$2,'Detailed Cash Flow'!$F$60:$AJ$60))</f>
        <v>543607.58247839718</v>
      </c>
      <c r="K21" s="121">
        <f ca="1">IF($B21&gt;'Financial Inputs'!$G$24,"",LOOKUP($B21,'Detailed Cash Flow'!$F$2:$AJ$2,'Detailed Cash Flow'!$F$62:$AJ$62)+LOOKUP($B21,'Detailed Cash Flow'!$F$2:$AJ$2,'Detailed Cash Flow'!$F$64:$AJ$64))</f>
        <v>-176944.26809671827</v>
      </c>
      <c r="L21" s="121">
        <f ca="1">IF($B21&gt;'Financial Inputs'!$G$24,"",LOOKUP($B21,'Detailed Cash Flow'!$F$2:$AJ$2,'Detailed Cash Flow'!$F$63:$AJ$63)+LOOKUP($B21,'Detailed Cash Flow'!$F$2:$AJ$2,'Detailed Cash Flow'!$F$65:$AJ$65))</f>
        <v>-38052.530773487808</v>
      </c>
      <c r="M21" s="121">
        <f ca="1">IF($B21&gt;'Financial Inputs'!$G$24,"",H21+K21+L21)</f>
        <v>376068.77051516838</v>
      </c>
      <c r="N21" s="121">
        <f ca="1">IF($B21&gt;'Financial Inputs'!$G$24,N20,N20+M21)</f>
        <v>2536676.6490080175</v>
      </c>
      <c r="O21" s="124">
        <f ca="1">IF($B21&gt;'Financial Inputs'!$G$24,"",LOOKUP($B21,'Detailed Cash Flow'!$F$2:$AJ$2,'Detailed Cash Flow'!$F$67:$AJ$67))</f>
        <v>0.11149796127904565</v>
      </c>
      <c r="P21" s="125" t="str">
        <f>IF($B21&gt;'Financial Inputs'!$G$24,"",LOOKUP($B21,'Detailed Cash Flow'!$F$2:$AJ$2,'Detailed Cash Flow'!$F$39:$AJ$39))</f>
        <v>N/A</v>
      </c>
      <c r="R21" s="238">
        <f ca="1">IF($B21&gt;'Financial Inputs'!$G$24,"",D21+K21+L21)</f>
        <v>796992.12530645914</v>
      </c>
      <c r="S21" s="239">
        <f>IF($B21&gt;'Financial Inputs'!$G$24,"",-(E21+F21+G21))</f>
        <v>420923.35479129077</v>
      </c>
      <c r="T21" s="976">
        <f ca="1">T20*(1+'Financial Inputs'!$G$55)</f>
        <v>65630.119317893623</v>
      </c>
      <c r="U21" s="975">
        <f ca="1">T21/(1+'Financial Inputs'!$G$80)^B21</f>
        <v>15711.328763853275</v>
      </c>
      <c r="V21" s="975">
        <f ca="1">M21/(1+'Financial Inputs'!$G$80)^B21</f>
        <v>90027.873677367767</v>
      </c>
    </row>
    <row r="22" spans="2:22" x14ac:dyDescent="0.2">
      <c r="B22" s="122">
        <v>16</v>
      </c>
      <c r="C22" s="397">
        <f>IF($B22&gt;'Financial Inputs'!$G$24,"",LOOKUP($B22,'Detailed Cash Flow'!$F$2:$AJ$2,'Detailed Cash Flow'!$F$14:$AJ$14))</f>
        <v>0.12112815044917169</v>
      </c>
      <c r="D22" s="121">
        <f>IF($B22&gt;'Financial Inputs'!$G$24,"",LOOKUP($B22,'Detailed Cash Flow'!$F$2:$AJ$2,'Detailed Cash Flow'!$F$25:$AJ$25))</f>
        <v>1032228.7026601987</v>
      </c>
      <c r="E22" s="121">
        <f>IF($B22&gt;'Financial Inputs'!$G$24,"",LOOKUP($B22,'Detailed Cash Flow'!$F$2:$AJ$2,'Detailed Cash Flow'!$F$33:$AJ$33))</f>
        <v>-429341.82188711665</v>
      </c>
      <c r="F22" s="121">
        <f>IF($B22&gt;'Financial Inputs'!$G$24,"",LOOKUP($B22,'Detailed Cash Flow'!$F$2:$AJ$2,'Detailed Cash Flow'!$F$127:$AJ$127)+LOOKUP($B22,'Detailed Cash Flow'!$F$2:$AJ$2,'Detailed Cash Flow'!$F$42:$AJ$42))</f>
        <v>0</v>
      </c>
      <c r="G22" s="121">
        <f>IF($B22&gt;'Financial Inputs'!$G$24,"",LOOKUP($B22,'Detailed Cash Flow'!$F$2:$AJ$2,'Detailed Cash Flow'!$F$84:$AJ$84)+LOOKUP($B22,'Detailed Cash Flow'!$F$2:$AJ$2,'Detailed Cash Flow'!$F$47:$AJ$47))</f>
        <v>-100267.39805767742</v>
      </c>
      <c r="H22" s="121">
        <f>IF($B22&gt;'Financial Inputs'!$G$24,"",SUM(D22:G22))</f>
        <v>502619.48271540459</v>
      </c>
      <c r="I22" s="121">
        <f ca="1">IF($B22&gt;'Financial Inputs'!$G$24,"",LOOKUP($B22,'Detailed Cash Flow'!$F$2:$AJ$2,'Detailed Cash Flow'!$F$59:$AJ$59))</f>
        <v>562351.90649737779</v>
      </c>
      <c r="J22" s="121">
        <f ca="1">IF($B22&gt;'Financial Inputs'!$G$24,"",LOOKUP($B22,'Detailed Cash Flow'!$F$2:$AJ$2,'Detailed Cash Flow'!$F$60:$AJ$60))</f>
        <v>562351.90649737779</v>
      </c>
      <c r="K22" s="121">
        <f ca="1">IF($B22&gt;'Financial Inputs'!$G$24,"",LOOKUP($B22,'Detailed Cash Flow'!$F$2:$AJ$2,'Detailed Cash Flow'!$F$62:$AJ$62)+LOOKUP($B22,'Detailed Cash Flow'!$F$2:$AJ$2,'Detailed Cash Flow'!$F$64:$AJ$64))</f>
        <v>-183045.54556489646</v>
      </c>
      <c r="L22" s="121">
        <f ca="1">IF($B22&gt;'Financial Inputs'!$G$24,"",LOOKUP($B22,'Detailed Cash Flow'!$F$2:$AJ$2,'Detailed Cash Flow'!$F$63:$AJ$63)+LOOKUP($B22,'Detailed Cash Flow'!$F$2:$AJ$2,'Detailed Cash Flow'!$F$65:$AJ$65))</f>
        <v>-39364.633454816452</v>
      </c>
      <c r="M22" s="121">
        <f ca="1">IF($B22&gt;'Financial Inputs'!$G$24,"",H22+K22+L22)</f>
        <v>280209.30369569169</v>
      </c>
      <c r="N22" s="121">
        <f ca="1">IF($B22&gt;'Financial Inputs'!$G$24,N21,N21+M22)</f>
        <v>2816885.9527037092</v>
      </c>
      <c r="O22" s="124">
        <f ca="1">IF($B22&gt;'Financial Inputs'!$G$24,"",LOOKUP($B22,'Detailed Cash Flow'!$F$2:$AJ$2,'Detailed Cash Flow'!$F$67:$AJ$67))</f>
        <v>0.11537013222659387</v>
      </c>
      <c r="P22" s="125" t="str">
        <f>IF($B22&gt;'Financial Inputs'!$G$24,"",LOOKUP($B22,'Detailed Cash Flow'!$F$2:$AJ$2,'Detailed Cash Flow'!$F$39:$AJ$39))</f>
        <v>N/A</v>
      </c>
      <c r="R22" s="238">
        <f ca="1">IF($B22&gt;'Financial Inputs'!$G$24,"",D22+K22+L22)</f>
        <v>809818.52364048583</v>
      </c>
      <c r="S22" s="239">
        <f>IF($B22&gt;'Financial Inputs'!$G$24,"",-(E22+F22+G22))</f>
        <v>529609.21994479408</v>
      </c>
      <c r="T22" s="976">
        <f ca="1">T21*(1+'Financial Inputs'!$G$55)</f>
        <v>66942.721704251497</v>
      </c>
      <c r="U22" s="975">
        <f ca="1">T22/(1+'Financial Inputs'!$G$80)^B22</f>
        <v>14568.686671936672</v>
      </c>
      <c r="V22" s="975">
        <f ca="1">M22/(1+'Financial Inputs'!$G$80)^B22</f>
        <v>60981.70860365266</v>
      </c>
    </row>
    <row r="23" spans="2:22" x14ac:dyDescent="0.2">
      <c r="B23" s="127">
        <v>17</v>
      </c>
      <c r="C23" s="397">
        <f>IF($B23&gt;'Financial Inputs'!$G$24,"",LOOKUP($B23,'Detailed Cash Flow'!$F$2:$AJ$2,'Detailed Cash Flow'!$F$14:$AJ$14))</f>
        <v>0.12355071345815512</v>
      </c>
      <c r="D23" s="121">
        <f>IF($B23&gt;'Financial Inputs'!$G$24,"",LOOKUP($B23,'Detailed Cash Flow'!$F$2:$AJ$2,'Detailed Cash Flow'!$F$25:$AJ$25))</f>
        <v>1052873.2767134025</v>
      </c>
      <c r="E23" s="121">
        <f>IF($B23&gt;'Financial Inputs'!$G$24,"",LOOKUP($B23,'Detailed Cash Flow'!$F$2:$AJ$2,'Detailed Cash Flow'!$F$33:$AJ$33))</f>
        <v>-437928.65832485893</v>
      </c>
      <c r="F23" s="121">
        <f>IF($B23&gt;'Financial Inputs'!$G$24,"",LOOKUP($B23,'Detailed Cash Flow'!$F$2:$AJ$2,'Detailed Cash Flow'!$F$127:$AJ$127)+LOOKUP($B23,'Detailed Cash Flow'!$F$2:$AJ$2,'Detailed Cash Flow'!$F$42:$AJ$42))</f>
        <v>0</v>
      </c>
      <c r="G23" s="121">
        <f>IF($B23&gt;'Financial Inputs'!$G$24,"",LOOKUP($B23,'Detailed Cash Flow'!$F$2:$AJ$2,'Detailed Cash Flow'!$F$84:$AJ$84)+LOOKUP($B23,'Detailed Cash Flow'!$F$2:$AJ$2,'Detailed Cash Flow'!$F$47:$AJ$47))</f>
        <v>0</v>
      </c>
      <c r="H23" s="121">
        <f>IF($B23&gt;'Financial Inputs'!$G$24,"",SUM(D23:G23))</f>
        <v>614944.6183885436</v>
      </c>
      <c r="I23" s="121">
        <f ca="1">IF($B23&gt;'Financial Inputs'!$G$24,"",LOOKUP($B23,'Detailed Cash Flow'!$F$2:$AJ$2,'Detailed Cash Flow'!$F$59:$AJ$59))</f>
        <v>562374.57216609223</v>
      </c>
      <c r="J23" s="121">
        <f ca="1">IF($B23&gt;'Financial Inputs'!$G$24,"",LOOKUP($B23,'Detailed Cash Flow'!$F$2:$AJ$2,'Detailed Cash Flow'!$F$60:$AJ$60))</f>
        <v>562374.57216609223</v>
      </c>
      <c r="K23" s="121">
        <f ca="1">IF($B23&gt;'Financial Inputs'!$G$24,"",LOOKUP($B23,'Detailed Cash Flow'!$F$2:$AJ$2,'Detailed Cash Flow'!$F$62:$AJ$62)+LOOKUP($B23,'Detailed Cash Flow'!$F$2:$AJ$2,'Detailed Cash Flow'!$F$64:$AJ$64))</f>
        <v>-183052.92324006301</v>
      </c>
      <c r="L23" s="121">
        <f ca="1">IF($B23&gt;'Financial Inputs'!$G$24,"",LOOKUP($B23,'Detailed Cash Flow'!$F$2:$AJ$2,'Detailed Cash Flow'!$F$63:$AJ$63)+LOOKUP($B23,'Detailed Cash Flow'!$F$2:$AJ$2,'Detailed Cash Flow'!$F$65:$AJ$65))</f>
        <v>-39366.220051626457</v>
      </c>
      <c r="M23" s="121">
        <f ca="1">IF($B23&gt;'Financial Inputs'!$G$24,"",H23+K23+L23)</f>
        <v>392525.47509685415</v>
      </c>
      <c r="N23" s="121">
        <f ca="1">IF($B23&gt;'Financial Inputs'!$G$24,N22,N22+M23)</f>
        <v>3209411.4278005632</v>
      </c>
      <c r="O23" s="124">
        <f ca="1">IF($B23&gt;'Financial Inputs'!$G$24,"",LOOKUP($B23,'Detailed Cash Flow'!$F$2:$AJ$2,'Detailed Cash Flow'!$F$67:$AJ$67))</f>
        <v>0.11982839225901398</v>
      </c>
      <c r="P23" s="125" t="str">
        <f>IF($B23&gt;'Financial Inputs'!$G$24,"",LOOKUP($B23,'Detailed Cash Flow'!$F$2:$AJ$2,'Detailed Cash Flow'!$F$39:$AJ$39))</f>
        <v>N/A</v>
      </c>
      <c r="R23" s="238">
        <f ca="1">IF($B23&gt;'Financial Inputs'!$G$24,"",D23+K23+L23)</f>
        <v>830454.13342171302</v>
      </c>
      <c r="S23" s="239">
        <f>IF($B23&gt;'Financial Inputs'!$G$24,"",-(E23+F23+G23))</f>
        <v>437928.65832485893</v>
      </c>
      <c r="T23" s="976">
        <f ca="1">T22*(1+'Financial Inputs'!$G$55)</f>
        <v>68281.576138336532</v>
      </c>
      <c r="U23" s="975">
        <f ca="1">T23/(1+'Financial Inputs'!$G$80)^B23</f>
        <v>13509.145823068551</v>
      </c>
      <c r="V23" s="975">
        <f ca="1">M23/(1+'Financial Inputs'!$G$80)^B23</f>
        <v>77659.072655405311</v>
      </c>
    </row>
    <row r="24" spans="2:22" x14ac:dyDescent="0.2">
      <c r="B24" s="122">
        <v>18</v>
      </c>
      <c r="C24" s="397">
        <f>IF($B24&gt;'Financial Inputs'!$G$24,"",LOOKUP($B24,'Detailed Cash Flow'!$F$2:$AJ$2,'Detailed Cash Flow'!$F$14:$AJ$14))</f>
        <v>0.12602172772731823</v>
      </c>
      <c r="D24" s="121">
        <f>IF($B24&gt;'Financial Inputs'!$G$24,"",LOOKUP($B24,'Detailed Cash Flow'!$F$2:$AJ$2,'Detailed Cash Flow'!$F$25:$AJ$25))</f>
        <v>1073930.7422476707</v>
      </c>
      <c r="E24" s="121">
        <f>IF($B24&gt;'Financial Inputs'!$G$24,"",LOOKUP($B24,'Detailed Cash Flow'!$F$2:$AJ$2,'Detailed Cash Flow'!$F$33:$AJ$33))</f>
        <v>-446687.23149135616</v>
      </c>
      <c r="F24" s="121">
        <f>IF($B24&gt;'Financial Inputs'!$G$24,"",LOOKUP($B24,'Detailed Cash Flow'!$F$2:$AJ$2,'Detailed Cash Flow'!$F$127:$AJ$127)+LOOKUP($B24,'Detailed Cash Flow'!$F$2:$AJ$2,'Detailed Cash Flow'!$F$42:$AJ$42))</f>
        <v>0</v>
      </c>
      <c r="G24" s="121">
        <f>IF($B24&gt;'Financial Inputs'!$G$24,"",LOOKUP($B24,'Detailed Cash Flow'!$F$2:$AJ$2,'Detailed Cash Flow'!$F$84:$AJ$84)+LOOKUP($B24,'Detailed Cash Flow'!$F$2:$AJ$2,'Detailed Cash Flow'!$F$47:$AJ$47))</f>
        <v>-104318.20093920761</v>
      </c>
      <c r="H24" s="121">
        <f>IF($B24&gt;'Financial Inputs'!$G$24,"",SUM(D24:G24))</f>
        <v>522925.30981710687</v>
      </c>
      <c r="I24" s="121">
        <f ca="1">IF($B24&gt;'Financial Inputs'!$G$24,"",LOOKUP($B24,'Detailed Cash Flow'!$F$2:$AJ$2,'Detailed Cash Flow'!$F$59:$AJ$59))</f>
        <v>585898.37590430421</v>
      </c>
      <c r="J24" s="121">
        <f ca="1">IF($B24&gt;'Financial Inputs'!$G$24,"",LOOKUP($B24,'Detailed Cash Flow'!$F$2:$AJ$2,'Detailed Cash Flow'!$F$60:$AJ$60))</f>
        <v>585898.37590430421</v>
      </c>
      <c r="K24" s="121">
        <f ca="1">IF($B24&gt;'Financial Inputs'!$G$24,"",LOOKUP($B24,'Detailed Cash Flow'!$F$2:$AJ$2,'Detailed Cash Flow'!$F$62:$AJ$62)+LOOKUP($B24,'Detailed Cash Flow'!$F$2:$AJ$2,'Detailed Cash Flow'!$F$64:$AJ$64))</f>
        <v>-190709.921356851</v>
      </c>
      <c r="L24" s="121">
        <f ca="1">IF($B24&gt;'Financial Inputs'!$G$24,"",LOOKUP($B24,'Detailed Cash Flow'!$F$2:$AJ$2,'Detailed Cash Flow'!$F$63:$AJ$63)+LOOKUP($B24,'Detailed Cash Flow'!$F$2:$AJ$2,'Detailed Cash Flow'!$F$65:$AJ$65))</f>
        <v>-41012.8863133013</v>
      </c>
      <c r="M24" s="121">
        <f ca="1">IF($B24&gt;'Financial Inputs'!$G$24,"",H24+K24+L24)</f>
        <v>291202.50214695459</v>
      </c>
      <c r="N24" s="121">
        <f ca="1">IF($B24&gt;'Financial Inputs'!$G$24,N23,N23+M24)</f>
        <v>3500613.9299475178</v>
      </c>
      <c r="O24" s="124">
        <f ca="1">IF($B24&gt;'Financial Inputs'!$G$24,"",LOOKUP($B24,'Detailed Cash Flow'!$F$2:$AJ$2,'Detailed Cash Flow'!$F$67:$AJ$67))</f>
        <v>0.12255847730299352</v>
      </c>
      <c r="P24" s="125" t="str">
        <f>IF($B24&gt;'Financial Inputs'!$G$24,"",LOOKUP($B24,'Detailed Cash Flow'!$F$2:$AJ$2,'Detailed Cash Flow'!$F$39:$AJ$39))</f>
        <v>N/A</v>
      </c>
      <c r="R24" s="238">
        <f ca="1">IF($B24&gt;'Financial Inputs'!$G$24,"",D24+K24+L24)</f>
        <v>842207.93457751838</v>
      </c>
      <c r="S24" s="239">
        <f>IF($B24&gt;'Financial Inputs'!$G$24,"",-(E24+F24+G24))</f>
        <v>551005.43243056373</v>
      </c>
      <c r="T24" s="976">
        <f ca="1">T23*(1+'Financial Inputs'!$G$55)</f>
        <v>69647.207661103268</v>
      </c>
      <c r="U24" s="975">
        <f ca="1">T24/(1+'Financial Inputs'!$G$80)^B24</f>
        <v>12526.662490481749</v>
      </c>
      <c r="V24" s="975">
        <f ca="1">M24/(1+'Financial Inputs'!$G$80)^B24</f>
        <v>52375.329654686444</v>
      </c>
    </row>
    <row r="25" spans="2:22" x14ac:dyDescent="0.2">
      <c r="B25" s="122">
        <v>19</v>
      </c>
      <c r="C25" s="397">
        <f>IF($B25&gt;'Financial Inputs'!$G$24,"",LOOKUP($B25,'Detailed Cash Flow'!$F$2:$AJ$2,'Detailed Cash Flow'!$F$14:$AJ$14))</f>
        <v>0.1285421622818646</v>
      </c>
      <c r="D25" s="121">
        <f>IF($B25&gt;'Financial Inputs'!$G$24,"",LOOKUP($B25,'Detailed Cash Flow'!$F$2:$AJ$2,'Detailed Cash Flow'!$F$25:$AJ$25))</f>
        <v>1095409.3570926243</v>
      </c>
      <c r="E25" s="121">
        <f>IF($B25&gt;'Financial Inputs'!$G$24,"",LOOKUP($B25,'Detailed Cash Flow'!$F$2:$AJ$2,'Detailed Cash Flow'!$F$33:$AJ$33))</f>
        <v>-455620.97612118331</v>
      </c>
      <c r="F25" s="121">
        <f>IF($B25&gt;'Financial Inputs'!$G$24,"",LOOKUP($B25,'Detailed Cash Flow'!$F$2:$AJ$2,'Detailed Cash Flow'!$F$127:$AJ$127)+LOOKUP($B25,'Detailed Cash Flow'!$F$2:$AJ$2,'Detailed Cash Flow'!$F$42:$AJ$42))</f>
        <v>0</v>
      </c>
      <c r="G25" s="121">
        <f>IF($B25&gt;'Financial Inputs'!$G$24,"",LOOKUP($B25,'Detailed Cash Flow'!$F$2:$AJ$2,'Detailed Cash Flow'!$F$84:$AJ$84)+LOOKUP($B25,'Detailed Cash Flow'!$F$2:$AJ$2,'Detailed Cash Flow'!$F$47:$AJ$47))</f>
        <v>0</v>
      </c>
      <c r="H25" s="121">
        <f>IF($B25&gt;'Financial Inputs'!$G$24,"",SUM(D25:G25))</f>
        <v>639788.38097144105</v>
      </c>
      <c r="I25" s="121">
        <f ca="1">IF($B25&gt;'Financial Inputs'!$G$24,"",LOOKUP($B25,'Detailed Cash Flow'!$F$2:$AJ$2,'Detailed Cash Flow'!$F$59:$AJ$59))</f>
        <v>585922.07782689994</v>
      </c>
      <c r="J25" s="121">
        <f ca="1">IF($B25&gt;'Financial Inputs'!$G$24,"",LOOKUP($B25,'Detailed Cash Flow'!$F$2:$AJ$2,'Detailed Cash Flow'!$F$60:$AJ$60))</f>
        <v>585922.07782689994</v>
      </c>
      <c r="K25" s="121">
        <f ca="1">IF($B25&gt;'Financial Inputs'!$G$24,"",LOOKUP($B25,'Detailed Cash Flow'!$F$2:$AJ$2,'Detailed Cash Flow'!$F$62:$AJ$62)+LOOKUP($B25,'Detailed Cash Flow'!$F$2:$AJ$2,'Detailed Cash Flow'!$F$64:$AJ$64))</f>
        <v>-190717.63633265594</v>
      </c>
      <c r="L25" s="121">
        <f ca="1">IF($B25&gt;'Financial Inputs'!$G$24,"",LOOKUP($B25,'Detailed Cash Flow'!$F$2:$AJ$2,'Detailed Cash Flow'!$F$63:$AJ$63)+LOOKUP($B25,'Detailed Cash Flow'!$F$2:$AJ$2,'Detailed Cash Flow'!$F$65:$AJ$65))</f>
        <v>-41014.545447883</v>
      </c>
      <c r="M25" s="121">
        <f ca="1">IF($B25&gt;'Financial Inputs'!$G$24,"",H25+K25+L25)</f>
        <v>408056.19919090212</v>
      </c>
      <c r="N25" s="121">
        <f ca="1">IF($B25&gt;'Financial Inputs'!$G$24,N24,N24+M25)</f>
        <v>3908670.1291384199</v>
      </c>
      <c r="O25" s="124">
        <f ca="1">IF($B25&gt;'Financial Inputs'!$G$24,"",LOOKUP($B25,'Detailed Cash Flow'!$F$2:$AJ$2,'Detailed Cash Flow'!$F$67:$AJ$67))</f>
        <v>0.12573673262783758</v>
      </c>
      <c r="P25" s="125" t="str">
        <f>IF($B25&gt;'Financial Inputs'!$G$24,"",LOOKUP($B25,'Detailed Cash Flow'!$F$2:$AJ$2,'Detailed Cash Flow'!$F$39:$AJ$39))</f>
        <v>N/A</v>
      </c>
      <c r="R25" s="238">
        <f ca="1">IF($B25&gt;'Financial Inputs'!$G$24,"",D25+K25+L25)</f>
        <v>863677.17531208543</v>
      </c>
      <c r="S25" s="239">
        <f>IF($B25&gt;'Financial Inputs'!$G$24,"",-(E25+F25+G25))</f>
        <v>455620.97612118331</v>
      </c>
      <c r="T25" s="976">
        <f ca="1">T24*(1+'Financial Inputs'!$G$55)</f>
        <v>71040.151814325334</v>
      </c>
      <c r="U25" s="975">
        <f ca="1">T25/(1+'Financial Inputs'!$G$80)^B25</f>
        <v>11615.632491173981</v>
      </c>
      <c r="V25" s="975">
        <f ca="1">M25/(1+'Financial Inputs'!$G$80)^B25</f>
        <v>66720.449274026076</v>
      </c>
    </row>
    <row r="26" spans="2:22" x14ac:dyDescent="0.2">
      <c r="B26" s="127">
        <v>20</v>
      </c>
      <c r="C26" s="397">
        <f>IF($B26&gt;'Financial Inputs'!$G$24,"",LOOKUP($B26,'Detailed Cash Flow'!$F$2:$AJ$2,'Detailed Cash Flow'!$F$14:$AJ$14))</f>
        <v>0.13111300552750188</v>
      </c>
      <c r="D26" s="121">
        <f>IF($B26&gt;'Financial Inputs'!$G$24,"",LOOKUP($B26,'Detailed Cash Flow'!$F$2:$AJ$2,'Detailed Cash Flow'!$F$25:$AJ$25))</f>
        <v>1117317.5442344765</v>
      </c>
      <c r="E26" s="121">
        <f>IF($B26&gt;'Financial Inputs'!$G$24,"",LOOKUP($B26,'Detailed Cash Flow'!$F$2:$AJ$2,'Detailed Cash Flow'!$F$33:$AJ$33))</f>
        <v>-464733.39564360696</v>
      </c>
      <c r="F26" s="121">
        <f>IF($B26&gt;'Financial Inputs'!$G$24,"",LOOKUP($B26,'Detailed Cash Flow'!$F$2:$AJ$2,'Detailed Cash Flow'!$F$127:$AJ$127)+LOOKUP($B26,'Detailed Cash Flow'!$F$2:$AJ$2,'Detailed Cash Flow'!$F$42:$AJ$42))</f>
        <v>0</v>
      </c>
      <c r="G26" s="121">
        <f>IF($B26&gt;'Financial Inputs'!$G$24,"",LOOKUP($B26,'Detailed Cash Flow'!$F$2:$AJ$2,'Detailed Cash Flow'!$F$84:$AJ$84)+LOOKUP($B26,'Detailed Cash Flow'!$F$2:$AJ$2,'Detailed Cash Flow'!$F$47:$AJ$47))</f>
        <v>-145673.76573125023</v>
      </c>
      <c r="H26" s="121">
        <f>IF($B26&gt;'Financial Inputs'!$G$24,"",SUM(D26:G26))</f>
        <v>506910.38285961928</v>
      </c>
      <c r="I26" s="121">
        <f ca="1">IF($B26&gt;'Financial Inputs'!$G$24,"",LOOKUP($B26,'Detailed Cash Flow'!$F$2:$AJ$2,'Detailed Cash Flow'!$F$59:$AJ$59))</f>
        <v>61406.409147828235</v>
      </c>
      <c r="J26" s="121">
        <f ca="1">IF($B26&gt;'Financial Inputs'!$G$24,"",LOOKUP($B26,'Detailed Cash Flow'!$F$2:$AJ$2,'Detailed Cash Flow'!$F$60:$AJ$60))</f>
        <v>61406.409147828235</v>
      </c>
      <c r="K26" s="121">
        <f ca="1">IF($B26&gt;'Financial Inputs'!$G$24,"",LOOKUP($B26,'Detailed Cash Flow'!$F$2:$AJ$2,'Detailed Cash Flow'!$F$62:$AJ$62)+LOOKUP($B26,'Detailed Cash Flow'!$F$2:$AJ$2,'Detailed Cash Flow'!$F$64:$AJ$64))</f>
        <v>-19987.786177618091</v>
      </c>
      <c r="L26" s="121">
        <f ca="1">IF($B26&gt;'Financial Inputs'!$G$24,"",LOOKUP($B26,'Detailed Cash Flow'!$F$2:$AJ$2,'Detailed Cash Flow'!$F$63:$AJ$63)+LOOKUP($B26,'Detailed Cash Flow'!$F$2:$AJ$2,'Detailed Cash Flow'!$F$65:$AJ$65))</f>
        <v>-4298.4486403479768</v>
      </c>
      <c r="M26" s="121">
        <f ca="1">IF($B26&gt;'Financial Inputs'!$G$24,"",H26+K26+L26)</f>
        <v>482624.14804165321</v>
      </c>
      <c r="N26" s="121">
        <f ca="1">IF($B26&gt;'Financial Inputs'!$G$24,N25,N25+M26)</f>
        <v>4391294.2771800729</v>
      </c>
      <c r="O26" s="124">
        <f ca="1">IF($B26&gt;'Financial Inputs'!$G$24,"",LOOKUP($B26,'Detailed Cash Flow'!$F$2:$AJ$2,'Detailed Cash Flow'!$F$67:$AJ$67))</f>
        <v>0.1288255256694637</v>
      </c>
      <c r="P26" s="125" t="str">
        <f>IF($B26&gt;'Financial Inputs'!$G$24,"",LOOKUP($B26,'Detailed Cash Flow'!$F$2:$AJ$2,'Detailed Cash Flow'!$F$39:$AJ$39))</f>
        <v>N/A</v>
      </c>
      <c r="R26" s="238">
        <f ca="1">IF($B26&gt;'Financial Inputs'!$G$24,"",D26+K26+L26)</f>
        <v>1093031.3094165104</v>
      </c>
      <c r="S26" s="239">
        <f>IF($B26&gt;'Financial Inputs'!$G$24,"",-(E26+F26+G26))</f>
        <v>610407.16137485718</v>
      </c>
      <c r="T26" s="976">
        <f ca="1">T25*(1+'Financial Inputs'!$G$55)</f>
        <v>72460.954850611844</v>
      </c>
      <c r="U26" s="975">
        <f ca="1">T26/(1+'Financial Inputs'!$G$80)^B26</f>
        <v>10770.859219088603</v>
      </c>
      <c r="V26" s="975">
        <f ca="1">M26/(1+'Financial Inputs'!$G$80)^B26</f>
        <v>71739.004336972663</v>
      </c>
    </row>
    <row r="27" spans="2:22" x14ac:dyDescent="0.2">
      <c r="B27" s="122">
        <v>21</v>
      </c>
      <c r="C27" s="123" t="str">
        <f>IF($B27&gt;'Financial Inputs'!$G$24,"",LOOKUP($B27,'Detailed Cash Flow'!$F$2:$AJ$2,'Detailed Cash Flow'!$F$14:$AJ$14))</f>
        <v/>
      </c>
      <c r="D27" s="121" t="str">
        <f>IF($B27&gt;'Financial Inputs'!$G$24,"",LOOKUP($B27,'Detailed Cash Flow'!$F$2:$AJ$2,'Detailed Cash Flow'!$F$25:$AJ$25))</f>
        <v/>
      </c>
      <c r="E27" s="121" t="str">
        <f>IF($B27&gt;'Financial Inputs'!$G$24,"",LOOKUP($B27,'Detailed Cash Flow'!$F$2:$AJ$2,'Detailed Cash Flow'!$F$33:$AJ$33))</f>
        <v/>
      </c>
      <c r="F27" s="121" t="str">
        <f>IF($B27&gt;'Financial Inputs'!$G$24,"",LOOKUP($B27,'Detailed Cash Flow'!$F$2:$AJ$2,'Detailed Cash Flow'!$F$127:$AJ$127))</f>
        <v/>
      </c>
      <c r="G27" s="121" t="str">
        <f>IF($B27&gt;'Financial Inputs'!$G$24,"",LOOKUP($B27,'Detailed Cash Flow'!$F$2:$AJ$2,'Detailed Cash Flow'!#REF!)+LOOKUP($B27,'Detailed Cash Flow'!$F$2:$AJ$2,'Detailed Cash Flow'!$F$46:$AJ$46))</f>
        <v/>
      </c>
      <c r="H27" s="121" t="str">
        <f>IF($B27&gt;'Financial Inputs'!$G$24,"",SUM(D27:G27))</f>
        <v/>
      </c>
      <c r="I27" s="121" t="str">
        <f>IF($B27&gt;'Financial Inputs'!$G$24,"",LOOKUP($B27,'Detailed Cash Flow'!$F$2:$AJ$2,'Detailed Cash Flow'!$F$59:$AJ$59))</f>
        <v/>
      </c>
      <c r="J27" s="121" t="str">
        <f>IF($B27&gt;'Financial Inputs'!$G$24,"",LOOKUP($B27,'Detailed Cash Flow'!$F$2:$AJ$2,'Detailed Cash Flow'!$F$60:$AJ$60))</f>
        <v/>
      </c>
      <c r="K27" s="121" t="str">
        <f>IF($B27&gt;'Financial Inputs'!$G$24,"",LOOKUP($B27,'Detailed Cash Flow'!$F$2:$AJ$2,'Detailed Cash Flow'!$F$62:$AJ$62)+LOOKUP($B27,'Detailed Cash Flow'!$F$2:$AJ$2,'Detailed Cash Flow'!$F$64:$AJ$64))</f>
        <v/>
      </c>
      <c r="L27" s="121" t="str">
        <f>IF($B27&gt;'Financial Inputs'!$G$24,"",LOOKUP($B27,'Detailed Cash Flow'!$F$2:$AJ$2,'Detailed Cash Flow'!$F$63:$AJ$63)+LOOKUP($B27,'Detailed Cash Flow'!$F$2:$AJ$2,'Detailed Cash Flow'!$F$65:$AJ$65))</f>
        <v/>
      </c>
      <c r="M27" s="121" t="str">
        <f>IF($B27&gt;'Financial Inputs'!$G$24,"",H27+K27+L27)</f>
        <v/>
      </c>
      <c r="N27" s="121">
        <f ca="1">IF($B27&gt;'Financial Inputs'!$G$24,N26,N26+M27)</f>
        <v>4391294.2771800729</v>
      </c>
      <c r="O27" s="124" t="str">
        <f>IF($B27&gt;'Financial Inputs'!$G$24,"",LOOKUP($B27,'Detailed Cash Flow'!$F$2:$AJ$2,'Detailed Cash Flow'!$F$67:$AJ$67))</f>
        <v/>
      </c>
      <c r="P27" s="125" t="str">
        <f>IF($B27&gt;'Financial Inputs'!$G$24,"",LOOKUP($B27,'Detailed Cash Flow'!$F$2:$AJ$2,'Detailed Cash Flow'!$F$39:$AJ$39))</f>
        <v/>
      </c>
      <c r="R27" s="238" t="str">
        <f>IF($B27&gt;'Financial Inputs'!$G$24,"",D27+K27+L27)</f>
        <v/>
      </c>
      <c r="S27" s="239" t="str">
        <f>IF($B27&gt;'Financial Inputs'!$G$24,"",-(E27+F27+G27))</f>
        <v/>
      </c>
      <c r="T27" s="975"/>
      <c r="V27" s="975"/>
    </row>
    <row r="28" spans="2:22" x14ac:dyDescent="0.2">
      <c r="B28" s="122">
        <v>22</v>
      </c>
      <c r="C28" s="123" t="str">
        <f>IF($B28&gt;'Financial Inputs'!$G$24,"",LOOKUP($B28,'Detailed Cash Flow'!$F$2:$AJ$2,'Detailed Cash Flow'!$F$14:$AJ$14))</f>
        <v/>
      </c>
      <c r="D28" s="121" t="str">
        <f>IF($B28&gt;'Financial Inputs'!$G$24,"",LOOKUP($B28,'Detailed Cash Flow'!$F$2:$AJ$2,'Detailed Cash Flow'!$F$25:$AJ$25))</f>
        <v/>
      </c>
      <c r="E28" s="121" t="str">
        <f>IF($B28&gt;'Financial Inputs'!$G$24,"",LOOKUP($B28,'Detailed Cash Flow'!$F$2:$AJ$2,'Detailed Cash Flow'!$F$33:$AJ$33))</f>
        <v/>
      </c>
      <c r="F28" s="121" t="str">
        <f>IF($B28&gt;'Financial Inputs'!$G$24,"",LOOKUP($B28,'Detailed Cash Flow'!$F$2:$AJ$2,'Detailed Cash Flow'!$F$127:$AJ$127))</f>
        <v/>
      </c>
      <c r="G28" s="121" t="str">
        <f>IF($B28&gt;'Financial Inputs'!$G$24,"",LOOKUP($B28,'Detailed Cash Flow'!$F$2:$AJ$2,'Detailed Cash Flow'!#REF!)+LOOKUP($B28,'Detailed Cash Flow'!$F$2:$AJ$2,'Detailed Cash Flow'!$F$46:$AJ$46))</f>
        <v/>
      </c>
      <c r="H28" s="121" t="str">
        <f>IF($B28&gt;'Financial Inputs'!$G$24,"",SUM(D28:G28))</f>
        <v/>
      </c>
      <c r="I28" s="121" t="str">
        <f>IF($B28&gt;'Financial Inputs'!$G$24,"",LOOKUP($B28,'Detailed Cash Flow'!$F$2:$AJ$2,'Detailed Cash Flow'!$F$59:$AJ$59))</f>
        <v/>
      </c>
      <c r="J28" s="121" t="str">
        <f>IF($B28&gt;'Financial Inputs'!$G$24,"",LOOKUP($B28,'Detailed Cash Flow'!$F$2:$AJ$2,'Detailed Cash Flow'!$F$60:$AJ$60))</f>
        <v/>
      </c>
      <c r="K28" s="121" t="str">
        <f>IF($B28&gt;'Financial Inputs'!$G$24,"",LOOKUP($B28,'Detailed Cash Flow'!$F$2:$AJ$2,'Detailed Cash Flow'!$F$62:$AJ$62)+LOOKUP($B28,'Detailed Cash Flow'!$F$2:$AJ$2,'Detailed Cash Flow'!$F$64:$AJ$64))</f>
        <v/>
      </c>
      <c r="L28" s="121" t="str">
        <f>IF($B28&gt;'Financial Inputs'!$G$24,"",LOOKUP($B28,'Detailed Cash Flow'!$F$2:$AJ$2,'Detailed Cash Flow'!$F$63:$AJ$63)+LOOKUP($B28,'Detailed Cash Flow'!$F$2:$AJ$2,'Detailed Cash Flow'!$F$65:$AJ$65))</f>
        <v/>
      </c>
      <c r="N28" s="121">
        <f ca="1">IF($B28&gt;'Financial Inputs'!$G$24,N27,N27+M28)</f>
        <v>4391294.2771800729</v>
      </c>
      <c r="O28" s="124" t="str">
        <f>IF($B28&gt;'Financial Inputs'!$G$24,"",LOOKUP($B28,'Detailed Cash Flow'!$F$2:$AJ$2,'Detailed Cash Flow'!$F$67:$AJ$67))</f>
        <v/>
      </c>
      <c r="P28" s="125" t="str">
        <f>IF($B28&gt;'Financial Inputs'!$G$24,"",LOOKUP($B28,'Detailed Cash Flow'!$F$2:$AJ$2,'Detailed Cash Flow'!$F$39:$AJ$39))</f>
        <v/>
      </c>
      <c r="R28" s="238" t="str">
        <f>IF($B28&gt;'Financial Inputs'!$G$24,"",D28+K28+L28)</f>
        <v/>
      </c>
      <c r="S28" s="239" t="str">
        <f>IF($B28&gt;'Financial Inputs'!$G$24,"",-(E28+F28+G28))</f>
        <v/>
      </c>
      <c r="T28" s="975">
        <f ca="1">SUM(T6:T26)</f>
        <v>1208537.2827921533</v>
      </c>
      <c r="U28" s="975">
        <f ca="1">SUM(U6:U26)</f>
        <v>484414.39860388235</v>
      </c>
      <c r="V28" s="975">
        <f ca="1">SUM(V6:V26)</f>
        <v>484414.39860387979</v>
      </c>
    </row>
    <row r="29" spans="2:22" x14ac:dyDescent="0.2">
      <c r="B29" s="127">
        <v>23</v>
      </c>
      <c r="C29" s="123" t="str">
        <f>IF($B29&gt;'Financial Inputs'!$G$24,"",LOOKUP($B29,'Detailed Cash Flow'!$F$2:$AJ$2,'Detailed Cash Flow'!$F$14:$AJ$14))</f>
        <v/>
      </c>
      <c r="D29" s="121" t="str">
        <f>IF($B29&gt;'Financial Inputs'!$G$24,"",LOOKUP($B29,'Detailed Cash Flow'!$F$2:$AJ$2,'Detailed Cash Flow'!$F$25:$AJ$25))</f>
        <v/>
      </c>
      <c r="E29" s="121" t="str">
        <f>IF($B29&gt;'Financial Inputs'!$G$24,"",LOOKUP($B29,'Detailed Cash Flow'!$F$2:$AJ$2,'Detailed Cash Flow'!$F$42:$AJ$42))</f>
        <v/>
      </c>
      <c r="F29" s="121" t="str">
        <f>IF($B29&gt;'Financial Inputs'!$G$24,"",LOOKUP($B29,'Detailed Cash Flow'!$F$2:$AJ$2,'Detailed Cash Flow'!$F$127:$AJ$127))</f>
        <v/>
      </c>
      <c r="G29" s="121" t="str">
        <f>IF($B29&gt;'Financial Inputs'!$G$24,"",LOOKUP($B29,'Detailed Cash Flow'!$F$2:$AJ$2,'Detailed Cash Flow'!#REF!)+LOOKUP($B29,'Detailed Cash Flow'!$F$2:$AJ$2,'Detailed Cash Flow'!$F$46:$AJ$46))</f>
        <v/>
      </c>
      <c r="H29" s="121" t="str">
        <f>IF($B29&gt;'Financial Inputs'!$G$24,"",SUM(D29:G29))</f>
        <v/>
      </c>
      <c r="I29" s="121" t="str">
        <f>IF($B29&gt;'Financial Inputs'!$G$24,"",LOOKUP($B29,'Detailed Cash Flow'!$F$2:$AJ$2,'Detailed Cash Flow'!$F$59:$AJ$59))</f>
        <v/>
      </c>
      <c r="J29" s="121" t="str">
        <f>IF($B29&gt;'Financial Inputs'!$G$24,"",LOOKUP($B29,'Detailed Cash Flow'!$F$2:$AJ$2,'Detailed Cash Flow'!$F$60:$AJ$60))</f>
        <v/>
      </c>
      <c r="K29" s="121" t="str">
        <f>IF($B29&gt;'Financial Inputs'!$G$24,"",LOOKUP($B29,'Detailed Cash Flow'!$F$2:$AJ$2,'Detailed Cash Flow'!$F$62:$AJ$62)+LOOKUP($B29,'Detailed Cash Flow'!$F$2:$AJ$2,'Detailed Cash Flow'!$F$64:$AJ$64))</f>
        <v/>
      </c>
      <c r="L29" s="121" t="str">
        <f>IF($B29&gt;'Financial Inputs'!$G$24,"",LOOKUP($B29,'Detailed Cash Flow'!$F$2:$AJ$2,'Detailed Cash Flow'!$F$63:$AJ$63)+LOOKUP($B29,'Detailed Cash Flow'!$F$2:$AJ$2,'Detailed Cash Flow'!$F$65:$AJ$65))</f>
        <v/>
      </c>
      <c r="M29" s="121" t="str">
        <f>IF($B29&gt;'Financial Inputs'!$G$24,"",H29+K29+L29)</f>
        <v/>
      </c>
      <c r="N29" s="121">
        <f ca="1">IF($B29&gt;'Financial Inputs'!$G$24,N28,N28+M29)</f>
        <v>4391294.2771800729</v>
      </c>
      <c r="O29" s="124" t="str">
        <f>IF($B29&gt;'Financial Inputs'!$G$24,"",LOOKUP($B29,'Detailed Cash Flow'!$F$2:$AJ$2,'Detailed Cash Flow'!$F$67:$AJ$67))</f>
        <v/>
      </c>
      <c r="P29" s="125" t="str">
        <f>IF($B29&gt;'Financial Inputs'!$G$24,"",LOOKUP($B29,'Detailed Cash Flow'!$F$2:$AJ$2,'Detailed Cash Flow'!$F$39:$AJ$39))</f>
        <v/>
      </c>
      <c r="R29" s="238" t="str">
        <f>IF($B29&gt;'Financial Inputs'!$G$24,"",D29+K29+L29)</f>
        <v/>
      </c>
      <c r="S29" s="239" t="str">
        <f>IF($B29&gt;'Financial Inputs'!$G$24,"",-(E29+F29+G29))</f>
        <v/>
      </c>
    </row>
    <row r="30" spans="2:22" x14ac:dyDescent="0.2">
      <c r="B30" s="122">
        <v>24</v>
      </c>
      <c r="C30" s="123" t="str">
        <f>IF($B30&gt;'Financial Inputs'!$G$24,"",LOOKUP($B30,'Detailed Cash Flow'!$F$2:$AJ$2,'Detailed Cash Flow'!$F$14:$AJ$14))</f>
        <v/>
      </c>
      <c r="D30" s="121" t="str">
        <f>IF($B30&gt;'Financial Inputs'!$G$24,"",LOOKUP($B30,'Detailed Cash Flow'!$F$2:$AJ$2,'Detailed Cash Flow'!$F$25:$AJ$25))</f>
        <v/>
      </c>
      <c r="E30" s="121" t="str">
        <f>IF($B30&gt;'Financial Inputs'!$G$24,"",LOOKUP($B30,'Detailed Cash Flow'!$F$2:$AJ$2,'Detailed Cash Flow'!$F$33:$AJ$33))</f>
        <v/>
      </c>
      <c r="F30" s="121" t="str">
        <f>IF($B30&gt;'Financial Inputs'!$G$24,"",LOOKUP($B30,'Detailed Cash Flow'!$F$2:$AJ$2,'Detailed Cash Flow'!$F$127:$AJ$127))</f>
        <v/>
      </c>
      <c r="G30" s="121" t="str">
        <f>IF($B30&gt;'Financial Inputs'!$G$24,"",LOOKUP($B30,'Detailed Cash Flow'!$F$2:$AJ$2,'Detailed Cash Flow'!#REF!)+LOOKUP($B30,'Detailed Cash Flow'!$F$2:$AJ$2,'Detailed Cash Flow'!$F$46:$AJ$46))</f>
        <v/>
      </c>
      <c r="H30" s="121" t="str">
        <f>IF($B30&gt;'Financial Inputs'!$G$24,"",SUM(D30:G30))</f>
        <v/>
      </c>
      <c r="I30" s="121" t="str">
        <f>IF($B30&gt;'Financial Inputs'!$G$24,"",LOOKUP($B30,'Detailed Cash Flow'!$F$2:$AJ$2,'Detailed Cash Flow'!$F$59:$AJ$59))</f>
        <v/>
      </c>
      <c r="J30" s="121" t="str">
        <f>IF($B30&gt;'Financial Inputs'!$G$24,"",LOOKUP($B30,'Detailed Cash Flow'!$F$2:$AJ$2,'Detailed Cash Flow'!$F$60:$AJ$60))</f>
        <v/>
      </c>
      <c r="K30" s="121" t="str">
        <f>IF($B30&gt;'Financial Inputs'!$G$24,"",LOOKUP($B30,'Detailed Cash Flow'!$F$2:$AJ$2,'Detailed Cash Flow'!$F$62:$AJ$62)+LOOKUP($B30,'Detailed Cash Flow'!$F$2:$AJ$2,'Detailed Cash Flow'!$F$64:$AJ$64))</f>
        <v/>
      </c>
      <c r="L30" s="121" t="str">
        <f>IF($B30&gt;'Financial Inputs'!$G$24,"",LOOKUP($B30,'Detailed Cash Flow'!$F$2:$AJ$2,'Detailed Cash Flow'!$F$63:$AJ$63)+LOOKUP($B30,'Detailed Cash Flow'!$F$2:$AJ$2,'Detailed Cash Flow'!$F$65:$AJ$65))</f>
        <v/>
      </c>
      <c r="M30" s="975"/>
      <c r="N30" s="121">
        <f ca="1">IF($B30&gt;'Financial Inputs'!$G$24,N29,N29+M30)</f>
        <v>4391294.2771800729</v>
      </c>
      <c r="O30" s="124" t="str">
        <f>IF($B30&gt;'Financial Inputs'!$G$24,"",LOOKUP($B30,'Detailed Cash Flow'!$F$2:$AJ$2,'Detailed Cash Flow'!$F$67:$AJ$67))</f>
        <v/>
      </c>
      <c r="P30" s="125" t="str">
        <f>IF($B30&gt;'Financial Inputs'!$G$24,"",LOOKUP($B30,'Detailed Cash Flow'!$F$2:$AJ$2,'Detailed Cash Flow'!$F$39:$AJ$39))</f>
        <v/>
      </c>
      <c r="R30" s="238" t="str">
        <f>IF($B30&gt;'Financial Inputs'!$G$24,"",D30+K30+L30)</f>
        <v/>
      </c>
      <c r="S30" s="239" t="str">
        <f>IF($B30&gt;'Financial Inputs'!$G$24,"",-(E30+F30+G30))</f>
        <v/>
      </c>
      <c r="T30" s="975"/>
      <c r="U30" s="977"/>
    </row>
    <row r="31" spans="2:22" x14ac:dyDescent="0.2">
      <c r="B31" s="122">
        <v>25</v>
      </c>
      <c r="C31" s="123" t="str">
        <f>IF($B31&gt;'Financial Inputs'!$G$24,"",LOOKUP($B31,'Detailed Cash Flow'!$F$2:$AJ$2,'Detailed Cash Flow'!$F$14:$AJ$14))</f>
        <v/>
      </c>
      <c r="D31" s="121" t="str">
        <f>IF($B31&gt;'Financial Inputs'!$G$24,"",LOOKUP($B31,'Detailed Cash Flow'!$F$2:$AJ$2,'Detailed Cash Flow'!$F$25:$AJ$25))</f>
        <v/>
      </c>
      <c r="E31" s="121" t="str">
        <f>IF($B31&gt;'Financial Inputs'!$G$24,"",LOOKUP($B31,'Detailed Cash Flow'!$F$2:$AJ$2,'Detailed Cash Flow'!$F$33:$AJ$33))</f>
        <v/>
      </c>
      <c r="F31" s="121" t="str">
        <f>IF($B31&gt;'Financial Inputs'!$G$24,"",LOOKUP($B31,'Detailed Cash Flow'!$F$2:$AJ$2,'Detailed Cash Flow'!$F$127:$AJ$127))</f>
        <v/>
      </c>
      <c r="G31" s="121" t="str">
        <f>IF($B31&gt;'Financial Inputs'!$G$24,"",LOOKUP($B31,'Detailed Cash Flow'!$F$2:$AJ$2,'Detailed Cash Flow'!#REF!)+LOOKUP($B31,'Detailed Cash Flow'!$F$2:$AJ$2,'Detailed Cash Flow'!$F$46:$AJ$46))</f>
        <v/>
      </c>
      <c r="H31" s="121" t="str">
        <f>IF($B31&gt;'Financial Inputs'!$G$24,"",SUM(D31:G31))</f>
        <v/>
      </c>
      <c r="I31" s="121" t="str">
        <f>IF($B31&gt;'Financial Inputs'!$G$24,"",LOOKUP($B31,'Detailed Cash Flow'!$F$2:$AJ$2,'Detailed Cash Flow'!$F$59:$AJ$59))</f>
        <v/>
      </c>
      <c r="J31" s="121" t="str">
        <f>IF($B31&gt;'Financial Inputs'!$G$24,"",LOOKUP($B31,'Detailed Cash Flow'!$F$2:$AJ$2,'Detailed Cash Flow'!$F$60:$AJ$60))</f>
        <v/>
      </c>
      <c r="K31" s="121" t="str">
        <f>IF($B31&gt;'Financial Inputs'!$G$24,"",LOOKUP($B31,'Detailed Cash Flow'!$F$2:$AJ$2,'Detailed Cash Flow'!$F$62:$AJ$62)+LOOKUP($B31,'Detailed Cash Flow'!$F$2:$AJ$2,'Detailed Cash Flow'!$F$64:$AJ$64))</f>
        <v/>
      </c>
      <c r="L31" s="121" t="str">
        <f>IF($B31&gt;'Financial Inputs'!$G$24,"",LOOKUP($B31,'Detailed Cash Flow'!$F$2:$AJ$2,'Detailed Cash Flow'!$F$63:$AJ$63)+LOOKUP($B31,'Detailed Cash Flow'!$F$2:$AJ$2,'Detailed Cash Flow'!$F$65:$AJ$65))</f>
        <v/>
      </c>
      <c r="M31" s="121" t="str">
        <f>IF($B31&gt;'Financial Inputs'!$G$24,"",H31+K31+L31)</f>
        <v/>
      </c>
      <c r="N31" s="121">
        <f ca="1">IF($B31&gt;'Financial Inputs'!$G$24,N30,N30+M31)</f>
        <v>4391294.2771800729</v>
      </c>
      <c r="O31" s="124" t="str">
        <f>IF($B31&gt;'Financial Inputs'!$G$24,"",LOOKUP($B31,'Detailed Cash Flow'!$F$2:$AJ$2,'Detailed Cash Flow'!$F$67:$AJ$67))</f>
        <v/>
      </c>
      <c r="P31" s="125" t="str">
        <f>IF($B31&gt;'Financial Inputs'!$G$24,"",LOOKUP($B31,'Detailed Cash Flow'!$F$2:$AJ$2,'Detailed Cash Flow'!$F$39:$AJ$39))</f>
        <v/>
      </c>
      <c r="R31" s="238" t="str">
        <f>IF($B31&gt;'Financial Inputs'!$G$24,"",D31+K31+L31)</f>
        <v/>
      </c>
      <c r="S31" s="239" t="str">
        <f>IF($B31&gt;'Financial Inputs'!$G$24,"",-(E31+F31+G31))</f>
        <v/>
      </c>
    </row>
    <row r="32" spans="2:22" x14ac:dyDescent="0.2">
      <c r="B32" s="127">
        <v>26</v>
      </c>
      <c r="C32" s="123" t="str">
        <f>IF($B32&gt;'Financial Inputs'!$G$24,"",LOOKUP($B32,'Detailed Cash Flow'!$F$2:$AJ$2,'Detailed Cash Flow'!$F$14:$AJ$14))</f>
        <v/>
      </c>
      <c r="D32" s="121" t="str">
        <f>IF($B32&gt;'Financial Inputs'!$G$24,"",LOOKUP($B32,'Detailed Cash Flow'!$F$2:$AJ$2,'Detailed Cash Flow'!$F$25:$AJ$25))</f>
        <v/>
      </c>
      <c r="E32" s="121" t="str">
        <f>IF($B32&gt;'Financial Inputs'!$G$24,"",LOOKUP($B32,'Detailed Cash Flow'!$F$2:$AJ$2,'Detailed Cash Flow'!$F$33:$AJ$33))</f>
        <v/>
      </c>
      <c r="F32" s="121" t="str">
        <f>IF($B32&gt;'Financial Inputs'!$G$24,"",LOOKUP($B32,'Detailed Cash Flow'!$F$2:$AJ$2,'Detailed Cash Flow'!$F$127:$AJ$127))</f>
        <v/>
      </c>
      <c r="G32" s="121" t="str">
        <f>IF($B32&gt;'Financial Inputs'!$G$24,"",LOOKUP($B32,'Detailed Cash Flow'!$F$2:$AJ$2,'Detailed Cash Flow'!#REF!)+LOOKUP($B32,'Detailed Cash Flow'!$F$2:$AJ$2,'Detailed Cash Flow'!$F$46:$AJ$46))</f>
        <v/>
      </c>
      <c r="H32" s="121" t="str">
        <f>IF($B32&gt;'Financial Inputs'!$G$24,"",SUM(D32:G32))</f>
        <v/>
      </c>
      <c r="I32" s="121" t="str">
        <f>IF($B32&gt;'Financial Inputs'!$G$24,"",LOOKUP($B32,'Detailed Cash Flow'!$F$2:$AJ$2,'Detailed Cash Flow'!$F$59:$AJ$59))</f>
        <v/>
      </c>
      <c r="J32" s="121" t="str">
        <f>IF($B32&gt;'Financial Inputs'!$G$24,"",LOOKUP($B32,'Detailed Cash Flow'!$F$2:$AJ$2,'Detailed Cash Flow'!$F$60:$AJ$60))</f>
        <v/>
      </c>
      <c r="K32" s="121" t="str">
        <f>IF($B32&gt;'Financial Inputs'!$G$24,"",LOOKUP($B32,'Detailed Cash Flow'!$F$2:$AJ$2,'Detailed Cash Flow'!$F$62:$AJ$62)+LOOKUP($B32,'Detailed Cash Flow'!$F$2:$AJ$2,'Detailed Cash Flow'!$F$64:$AJ$64))</f>
        <v/>
      </c>
      <c r="L32" s="121" t="str">
        <f>IF($B32&gt;'Financial Inputs'!$G$24,"",LOOKUP($B32,'Detailed Cash Flow'!$F$2:$AJ$2,'Detailed Cash Flow'!$F$63:$AJ$63)+LOOKUP($B32,'Detailed Cash Flow'!$F$2:$AJ$2,'Detailed Cash Flow'!$F$65:$AJ$65))</f>
        <v/>
      </c>
      <c r="M32" s="121" t="str">
        <f>IF($B32&gt;'Financial Inputs'!$G$24,"",H32+K32+L32)</f>
        <v/>
      </c>
      <c r="N32" s="121">
        <f ca="1">IF($B32&gt;'Financial Inputs'!$G$24,N31,N31+M32)</f>
        <v>4391294.2771800729</v>
      </c>
      <c r="O32" s="124" t="str">
        <f>IF($B32&gt;'Financial Inputs'!$G$24,"",LOOKUP($B32,'Detailed Cash Flow'!$F$2:$AJ$2,'Detailed Cash Flow'!$F$67:$AJ$67))</f>
        <v/>
      </c>
      <c r="P32" s="125" t="str">
        <f>IF($B32&gt;'Financial Inputs'!$G$24,"",LOOKUP($B32,'Detailed Cash Flow'!$F$2:$AJ$2,'Detailed Cash Flow'!$F$39:$AJ$39))</f>
        <v/>
      </c>
      <c r="R32" s="238" t="str">
        <f>IF($B32&gt;'Financial Inputs'!$G$24,"",D32+K32+L32)</f>
        <v/>
      </c>
      <c r="S32" s="239" t="str">
        <f>IF($B32&gt;'Financial Inputs'!$G$24,"",-(E32+F32+G32))</f>
        <v/>
      </c>
    </row>
    <row r="33" spans="2:19" x14ac:dyDescent="0.2">
      <c r="B33" s="122">
        <v>27</v>
      </c>
      <c r="C33" s="123" t="str">
        <f>IF($B33&gt;'Financial Inputs'!$G$24,"",LOOKUP($B33,'Detailed Cash Flow'!$F$2:$AJ$2,'Detailed Cash Flow'!$F$14:$AJ$14))</f>
        <v/>
      </c>
      <c r="D33" s="121" t="str">
        <f>IF($B33&gt;'Financial Inputs'!$G$24,"",LOOKUP($B33,'Detailed Cash Flow'!$F$2:$AJ$2,'Detailed Cash Flow'!$F$25:$AJ$25))</f>
        <v/>
      </c>
      <c r="E33" s="121" t="str">
        <f>IF($B33&gt;'Financial Inputs'!$G$24,"",LOOKUP($B33,'Detailed Cash Flow'!$F$2:$AJ$2,'Detailed Cash Flow'!$F$33:$AJ$33))</f>
        <v/>
      </c>
      <c r="F33" s="121" t="str">
        <f>IF($B33&gt;'Financial Inputs'!$G$24,"",LOOKUP($B33,'Detailed Cash Flow'!$F$2:$AJ$2,'Detailed Cash Flow'!$F$127:$AJ$127))</f>
        <v/>
      </c>
      <c r="G33" s="121" t="str">
        <f>IF($B33&gt;'Financial Inputs'!$G$24,"",LOOKUP($B33,'Detailed Cash Flow'!$F$2:$AJ$2,'Detailed Cash Flow'!#REF!)+LOOKUP($B33,'Detailed Cash Flow'!$F$2:$AJ$2,'Detailed Cash Flow'!$F$46:$AJ$46))</f>
        <v/>
      </c>
      <c r="H33" s="121" t="str">
        <f>IF($B33&gt;'Financial Inputs'!$G$24,"",SUM(D33:G33))</f>
        <v/>
      </c>
      <c r="I33" s="121" t="str">
        <f>IF($B33&gt;'Financial Inputs'!$G$24,"",LOOKUP($B33,'Detailed Cash Flow'!$F$2:$AJ$2,'Detailed Cash Flow'!$F$59:$AJ$59))</f>
        <v/>
      </c>
      <c r="J33" s="121" t="str">
        <f>IF($B33&gt;'Financial Inputs'!$G$24,"",LOOKUP($B33,'Detailed Cash Flow'!$F$2:$AJ$2,'Detailed Cash Flow'!$F$60:$AJ$60))</f>
        <v/>
      </c>
      <c r="K33" s="121" t="str">
        <f>IF($B33&gt;'Financial Inputs'!$G$24,"",LOOKUP($B33,'Detailed Cash Flow'!$F$2:$AJ$2,'Detailed Cash Flow'!$F$62:$AJ$62)+LOOKUP($B33,'Detailed Cash Flow'!$F$2:$AJ$2,'Detailed Cash Flow'!$F$64:$AJ$64))</f>
        <v/>
      </c>
      <c r="L33" s="121" t="str">
        <f>IF($B33&gt;'Financial Inputs'!$G$24,"",LOOKUP($B33,'Detailed Cash Flow'!$F$2:$AJ$2,'Detailed Cash Flow'!$F$63:$AJ$63)+LOOKUP($B33,'Detailed Cash Flow'!$F$2:$AJ$2,'Detailed Cash Flow'!$F$65:$AJ$65))</f>
        <v/>
      </c>
      <c r="M33" s="121" t="str">
        <f>IF($B33&gt;'Financial Inputs'!$G$24,"",H33+K33+L33)</f>
        <v/>
      </c>
      <c r="N33" s="121">
        <f ca="1">IF($B33&gt;'Financial Inputs'!$G$24,N32,N32+M33)</f>
        <v>4391294.2771800729</v>
      </c>
      <c r="O33" s="124" t="str">
        <f>IF($B33&gt;'Financial Inputs'!$G$24,"",LOOKUP($B33,'Detailed Cash Flow'!$F$2:$AJ$2,'Detailed Cash Flow'!$F$67:$AJ$67))</f>
        <v/>
      </c>
      <c r="P33" s="125" t="str">
        <f>IF($B33&gt;'Financial Inputs'!$G$24,"",LOOKUP($B33,'Detailed Cash Flow'!$F$2:$AJ$2,'Detailed Cash Flow'!$F$39:$AJ$39))</f>
        <v/>
      </c>
      <c r="R33" s="238" t="str">
        <f>IF($B33&gt;'Financial Inputs'!$G$24,"",D33+K33+L33)</f>
        <v/>
      </c>
      <c r="S33" s="239" t="str">
        <f>IF($B33&gt;'Financial Inputs'!$G$24,"",-(E33+F33+G33))</f>
        <v/>
      </c>
    </row>
    <row r="34" spans="2:19" x14ac:dyDescent="0.2">
      <c r="B34" s="122">
        <v>28</v>
      </c>
      <c r="C34" s="123" t="str">
        <f>IF($B34&gt;'Financial Inputs'!$G$24,"",LOOKUP($B34,'Detailed Cash Flow'!$F$2:$AJ$2,'Detailed Cash Flow'!$F$14:$AJ$14))</f>
        <v/>
      </c>
      <c r="D34" s="121" t="str">
        <f>IF($B34&gt;'Financial Inputs'!$G$24,"",LOOKUP($B34,'Detailed Cash Flow'!$F$2:$AJ$2,'Detailed Cash Flow'!$F$25:$AJ$25))</f>
        <v/>
      </c>
      <c r="E34" s="121" t="str">
        <f>IF($B34&gt;'Financial Inputs'!$G$24,"",LOOKUP($B34,'Detailed Cash Flow'!$F$2:$AJ$2,'Detailed Cash Flow'!$F$33:$AJ$33))</f>
        <v/>
      </c>
      <c r="F34" s="121" t="str">
        <f>IF($B34&gt;'Financial Inputs'!$G$24,"",LOOKUP($B34,'Detailed Cash Flow'!$F$2:$AJ$2,'Detailed Cash Flow'!$F$127:$AJ$127))</f>
        <v/>
      </c>
      <c r="G34" s="121" t="str">
        <f>IF($B34&gt;'Financial Inputs'!$G$24,"",LOOKUP($B34,'Detailed Cash Flow'!$F$2:$AJ$2,'Detailed Cash Flow'!#REF!)+LOOKUP($B34,'Detailed Cash Flow'!$F$2:$AJ$2,'Detailed Cash Flow'!$F$46:$AJ$46))</f>
        <v/>
      </c>
      <c r="H34" s="121" t="str">
        <f>IF($B34&gt;'Financial Inputs'!$G$24,"",SUM(D34:G34))</f>
        <v/>
      </c>
      <c r="I34" s="121" t="str">
        <f>IF($B34&gt;'Financial Inputs'!$G$24,"",LOOKUP($B34,'Detailed Cash Flow'!$F$2:$AJ$2,'Detailed Cash Flow'!$F$59:$AJ$59))</f>
        <v/>
      </c>
      <c r="J34" s="121" t="str">
        <f>IF($B34&gt;'Financial Inputs'!$G$24,"",LOOKUP($B34,'Detailed Cash Flow'!$F$2:$AJ$2,'Detailed Cash Flow'!$F$60:$AJ$60))</f>
        <v/>
      </c>
      <c r="K34" s="121" t="str">
        <f>IF($B34&gt;'Financial Inputs'!$G$24,"",LOOKUP($B34,'Detailed Cash Flow'!$F$2:$AJ$2,'Detailed Cash Flow'!$F$62:$AJ$62)+LOOKUP($B34,'Detailed Cash Flow'!$F$2:$AJ$2,'Detailed Cash Flow'!$F$64:$AJ$64))</f>
        <v/>
      </c>
      <c r="L34" s="121" t="str">
        <f>IF($B34&gt;'Financial Inputs'!$G$24,"",LOOKUP($B34,'Detailed Cash Flow'!$F$2:$AJ$2,'Detailed Cash Flow'!$F$63:$AJ$63)+LOOKUP($B34,'Detailed Cash Flow'!$F$2:$AJ$2,'Detailed Cash Flow'!$F$65:$AJ$65))</f>
        <v/>
      </c>
      <c r="M34" s="121" t="str">
        <f>IF($B34&gt;'Financial Inputs'!$G$24,"",H34+K34+L34)</f>
        <v/>
      </c>
      <c r="N34" s="121">
        <f ca="1">IF($B34&gt;'Financial Inputs'!$G$24,N33,N33+M34)</f>
        <v>4391294.2771800729</v>
      </c>
      <c r="O34" s="124" t="str">
        <f>IF($B34&gt;'Financial Inputs'!$G$24,"",LOOKUP($B34,'Detailed Cash Flow'!$F$2:$AJ$2,'Detailed Cash Flow'!$F$67:$AJ$67))</f>
        <v/>
      </c>
      <c r="P34" s="125" t="str">
        <f>IF($B34&gt;'Financial Inputs'!$G$24,"",LOOKUP($B34,'Detailed Cash Flow'!$F$2:$AJ$2,'Detailed Cash Flow'!$F$39:$AJ$39))</f>
        <v/>
      </c>
      <c r="R34" s="238" t="str">
        <f>IF($B34&gt;'Financial Inputs'!$G$24,"",D34+K34+L34)</f>
        <v/>
      </c>
      <c r="S34" s="239" t="str">
        <f>IF($B34&gt;'Financial Inputs'!$G$24,"",-(E34+F34+G34))</f>
        <v/>
      </c>
    </row>
    <row r="35" spans="2:19" x14ac:dyDescent="0.2">
      <c r="B35" s="127">
        <v>29</v>
      </c>
      <c r="C35" s="123" t="str">
        <f>IF($B35&gt;'Financial Inputs'!$G$24,"",LOOKUP($B35,'Detailed Cash Flow'!$F$2:$AJ$2,'Detailed Cash Flow'!$F$14:$AJ$14))</f>
        <v/>
      </c>
      <c r="D35" s="121" t="str">
        <f>IF($B35&gt;'Financial Inputs'!$G$24,"",LOOKUP($B35,'Detailed Cash Flow'!$F$2:$AJ$2,'Detailed Cash Flow'!$F$25:$AJ$25))</f>
        <v/>
      </c>
      <c r="E35" s="121" t="str">
        <f>IF($B35&gt;'Financial Inputs'!$G$24,"",LOOKUP($B35,'Detailed Cash Flow'!$F$2:$AJ$2,'Detailed Cash Flow'!$F$33:$AJ$33))</f>
        <v/>
      </c>
      <c r="F35" s="121" t="str">
        <f>IF($B35&gt;'Financial Inputs'!$G$24,"",LOOKUP($B35,'Detailed Cash Flow'!$F$2:$AJ$2,'Detailed Cash Flow'!$F$127:$AJ$127))</f>
        <v/>
      </c>
      <c r="G35" s="121" t="str">
        <f>IF($B35&gt;'Financial Inputs'!$G$24,"",LOOKUP($B35,'Detailed Cash Flow'!$F$2:$AJ$2,'Detailed Cash Flow'!#REF!)+LOOKUP($B35,'Detailed Cash Flow'!$F$2:$AJ$2,'Detailed Cash Flow'!$F$46:$AJ$46))</f>
        <v/>
      </c>
      <c r="H35" s="121" t="str">
        <f>IF($B35&gt;'Financial Inputs'!$G$24,"",SUM(D35:G35))</f>
        <v/>
      </c>
      <c r="I35" s="121" t="str">
        <f>IF($B35&gt;'Financial Inputs'!$G$24,"",LOOKUP($B35,'Detailed Cash Flow'!$F$2:$AJ$2,'Detailed Cash Flow'!$F$59:$AJ$59))</f>
        <v/>
      </c>
      <c r="J35" s="121" t="str">
        <f>IF($B35&gt;'Financial Inputs'!$G$24,"",LOOKUP($B35,'Detailed Cash Flow'!$F$2:$AJ$2,'Detailed Cash Flow'!$F$60:$AJ$60))</f>
        <v/>
      </c>
      <c r="K35" s="121" t="str">
        <f>IF($B35&gt;'Financial Inputs'!$G$24,"",LOOKUP($B35,'Detailed Cash Flow'!$F$2:$AJ$2,'Detailed Cash Flow'!$F$62:$AJ$62)+LOOKUP($B35,'Detailed Cash Flow'!$F$2:$AJ$2,'Detailed Cash Flow'!$F$64:$AJ$64))</f>
        <v/>
      </c>
      <c r="L35" s="121" t="str">
        <f>IF($B35&gt;'Financial Inputs'!$G$24,"",LOOKUP($B35,'Detailed Cash Flow'!$F$2:$AJ$2,'Detailed Cash Flow'!$F$63:$AJ$63)+LOOKUP($B35,'Detailed Cash Flow'!$F$2:$AJ$2,'Detailed Cash Flow'!$F$65:$AJ$65))</f>
        <v/>
      </c>
      <c r="M35" s="121" t="str">
        <f>IF($B35&gt;'Financial Inputs'!$G$24,"",H35+K35+L35)</f>
        <v/>
      </c>
      <c r="N35" s="121">
        <f ca="1">IF($B35&gt;'Financial Inputs'!$G$24,N34,N34+M35)</f>
        <v>4391294.2771800729</v>
      </c>
      <c r="O35" s="124" t="str">
        <f>IF($B35&gt;'Financial Inputs'!$G$24,"",LOOKUP($B35,'Detailed Cash Flow'!$F$2:$AJ$2,'Detailed Cash Flow'!$F$67:$AJ$67))</f>
        <v/>
      </c>
      <c r="P35" s="125" t="str">
        <f>IF($B35&gt;'Financial Inputs'!$G$24,"",LOOKUP($B35,'Detailed Cash Flow'!$F$2:$AJ$2,'Detailed Cash Flow'!$F$39:$AJ$39))</f>
        <v/>
      </c>
      <c r="R35" s="238" t="str">
        <f>IF($B35&gt;'Financial Inputs'!$G$24,"",D35+K35+L35)</f>
        <v/>
      </c>
      <c r="S35" s="239" t="str">
        <f>IF($B35&gt;'Financial Inputs'!$G$24,"",-(E35+F35+G35))</f>
        <v/>
      </c>
    </row>
    <row r="36" spans="2:19" x14ac:dyDescent="0.2">
      <c r="B36" s="122">
        <v>30</v>
      </c>
      <c r="C36" s="123" t="str">
        <f>IF($B36&gt;'Financial Inputs'!$G$24,"",LOOKUP($B36,'Detailed Cash Flow'!$F$2:$AJ$2,'Detailed Cash Flow'!$F$14:$AJ$14))</f>
        <v/>
      </c>
      <c r="D36" s="121" t="str">
        <f>IF($B36&gt;'Financial Inputs'!$G$24,"",LOOKUP($B36,'Detailed Cash Flow'!$F$2:$AJ$2,'Detailed Cash Flow'!$F$25:$AJ$25))</f>
        <v/>
      </c>
      <c r="E36" s="121" t="str">
        <f>IF($B36&gt;'Financial Inputs'!$G$24,"",LOOKUP($B36,'Detailed Cash Flow'!$F$2:$AJ$2,'Detailed Cash Flow'!$F$33:$AJ$33))</f>
        <v/>
      </c>
      <c r="F36" s="121" t="str">
        <f>IF($B36&gt;'Financial Inputs'!$G$24,"",LOOKUP($B36,'Detailed Cash Flow'!$F$2:$AJ$2,'Detailed Cash Flow'!$F$127:$AJ$127))</f>
        <v/>
      </c>
      <c r="G36" s="121" t="str">
        <f>IF($B36&gt;'Financial Inputs'!$G$24,"",LOOKUP($B36,'Detailed Cash Flow'!$F$2:$AJ$2,'Detailed Cash Flow'!#REF!)+LOOKUP($B36,'Detailed Cash Flow'!$F$2:$AJ$2,'Detailed Cash Flow'!$F$46:$AJ$46))</f>
        <v/>
      </c>
      <c r="H36" s="121" t="str">
        <f>IF($B36&gt;'Financial Inputs'!$G$24,"",SUM(D36:G36))</f>
        <v/>
      </c>
      <c r="I36" s="121" t="str">
        <f>IF($B36&gt;'Financial Inputs'!$G$24,"",LOOKUP($B36,'Detailed Cash Flow'!$F$2:$AJ$2,'Detailed Cash Flow'!$F$59:$AJ$59))</f>
        <v/>
      </c>
      <c r="J36" s="121" t="str">
        <f>IF($B36&gt;'Financial Inputs'!$G$24,"",LOOKUP($B36,'Detailed Cash Flow'!$F$2:$AJ$2,'Detailed Cash Flow'!$F$60:$AJ$60))</f>
        <v/>
      </c>
      <c r="K36" s="121" t="str">
        <f>IF($B36&gt;'Financial Inputs'!$G$24,"",LOOKUP($B36,'Detailed Cash Flow'!$F$2:$AJ$2,'Detailed Cash Flow'!$F$62:$AJ$62)+LOOKUP($B36,'Detailed Cash Flow'!$F$2:$AJ$2,'Detailed Cash Flow'!$F$64:$AJ$64))</f>
        <v/>
      </c>
      <c r="L36" s="121" t="str">
        <f>IF($B36&gt;'Financial Inputs'!$G$24,"",LOOKUP($B36,'Detailed Cash Flow'!$F$2:$AJ$2,'Detailed Cash Flow'!$F$63:$AJ$63)+LOOKUP($B36,'Detailed Cash Flow'!$F$2:$AJ$2,'Detailed Cash Flow'!$F$65:$AJ$65))</f>
        <v/>
      </c>
      <c r="M36" s="121" t="str">
        <f>IF($B36&gt;'Financial Inputs'!$G$24,"",H36+K36+L36)</f>
        <v/>
      </c>
      <c r="N36" s="121">
        <f ca="1">IF($B36&gt;'Financial Inputs'!$G$24,N35,N35+M36)</f>
        <v>4391294.2771800729</v>
      </c>
      <c r="O36" s="124" t="str">
        <f>IF($B36&gt;'Financial Inputs'!$G$24,"",LOOKUP($B36,'Detailed Cash Flow'!$F$2:$AJ$2,'Detailed Cash Flow'!$F$67:$AJ$67))</f>
        <v/>
      </c>
      <c r="P36" s="125" t="str">
        <f>IF($B36&gt;'Financial Inputs'!$G$24,"",LOOKUP($B36,'Detailed Cash Flow'!$F$2:$AJ$2,'Detailed Cash Flow'!$F$39:$AJ$39))</f>
        <v/>
      </c>
      <c r="R36" s="238" t="str">
        <f>IF($B36&gt;'Financial Inputs'!$G$24,"",D36+K36+L36)</f>
        <v/>
      </c>
      <c r="S36" s="239" t="str">
        <f>IF($B36&gt;'Financial Inputs'!$G$24,"",-(E36+F36+G36))</f>
        <v/>
      </c>
    </row>
    <row r="37" spans="2:19" x14ac:dyDescent="0.2">
      <c r="B37" s="128"/>
      <c r="C37" s="129"/>
      <c r="D37" s="129"/>
      <c r="E37" s="129"/>
      <c r="F37" s="129"/>
      <c r="G37" s="140"/>
      <c r="H37" s="129"/>
      <c r="I37" s="129"/>
      <c r="J37" s="129"/>
      <c r="K37" s="129"/>
      <c r="L37" s="129"/>
      <c r="M37" s="140"/>
      <c r="N37" s="140"/>
      <c r="O37" s="140"/>
      <c r="P37" s="141"/>
      <c r="R37" s="240"/>
      <c r="S37" s="241"/>
    </row>
    <row r="38" spans="2:19" x14ac:dyDescent="0.2">
      <c r="G38" s="142"/>
      <c r="M38" s="142"/>
      <c r="N38" s="142"/>
      <c r="O38" s="142"/>
      <c r="P38" s="142"/>
      <c r="R38" s="459"/>
      <c r="S38" s="459"/>
    </row>
    <row r="39" spans="2:19" ht="15" thickBot="1" x14ac:dyDescent="0.25">
      <c r="G39" s="142"/>
      <c r="M39" s="142"/>
      <c r="N39" s="142"/>
      <c r="O39" s="142"/>
      <c r="P39" s="142"/>
      <c r="R39" s="459"/>
      <c r="S39" s="459"/>
    </row>
    <row r="40" spans="2:19" ht="15.75" x14ac:dyDescent="0.25">
      <c r="B40" s="1" t="s">
        <v>383</v>
      </c>
      <c r="G40" s="460" t="str">
        <f>'Key inputs &amp; Outputs'!F14</f>
        <v>Yes</v>
      </c>
      <c r="M40" s="142"/>
      <c r="N40" s="142"/>
      <c r="O40" s="142"/>
      <c r="P40" s="142"/>
      <c r="R40" s="459"/>
      <c r="S40" s="459"/>
    </row>
    <row r="41" spans="2:19" x14ac:dyDescent="0.2">
      <c r="G41" s="142"/>
      <c r="M41" s="142"/>
      <c r="N41" s="142"/>
      <c r="O41" s="142"/>
      <c r="P41" s="142"/>
      <c r="R41" s="459"/>
      <c r="S41" s="459"/>
    </row>
    <row r="42" spans="2:19" x14ac:dyDescent="0.2">
      <c r="G42" s="142"/>
      <c r="M42" s="142"/>
      <c r="N42" s="142"/>
      <c r="O42" s="142"/>
      <c r="P42" s="142"/>
    </row>
  </sheetData>
  <sheetProtection sheet="1" objects="1" scenarios="1"/>
  <protectedRanges>
    <protectedRange sqref="G40" name="Depreciation Inputs"/>
  </protectedRanges>
  <mergeCells count="3">
    <mergeCell ref="R4:R5"/>
    <mergeCell ref="S4:S5"/>
    <mergeCell ref="R3:S3"/>
  </mergeCells>
  <conditionalFormatting sqref="N7:N36">
    <cfRule type="expression" dxfId="13" priority="1">
      <formula>$N7=$N6</formula>
    </cfRule>
  </conditionalFormatting>
  <pageMargins left="0.7" right="0.7" top="0.75" bottom="0.75" header="0.3" footer="0.3"/>
  <pageSetup orientation="portrait" horizontalDpi="4294967293" verticalDpi="0"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K241"/>
  <sheetViews>
    <sheetView workbookViewId="0"/>
  </sheetViews>
  <sheetFormatPr defaultColWidth="8.85546875" defaultRowHeight="15" x14ac:dyDescent="0.25"/>
  <cols>
    <col min="1" max="1" width="5.42578125" customWidth="1"/>
    <col min="2" max="2" width="56.42578125" customWidth="1"/>
    <col min="3" max="3" width="15.28515625" customWidth="1"/>
    <col min="4" max="4" width="16" customWidth="1"/>
    <col min="5" max="5" width="15.28515625" customWidth="1"/>
    <col min="6" max="6" width="15.85546875" customWidth="1"/>
    <col min="7" max="7" width="18.7109375" bestFit="1" customWidth="1"/>
    <col min="8" max="13" width="14.85546875" bestFit="1" customWidth="1"/>
    <col min="14" max="14" width="16" customWidth="1"/>
    <col min="15" max="17" width="13.7109375" customWidth="1"/>
    <col min="18" max="18" width="18.85546875" customWidth="1"/>
    <col min="19" max="24" width="13.7109375" customWidth="1"/>
    <col min="25" max="25" width="15.7109375" customWidth="1"/>
    <col min="26" max="36" width="13.7109375" customWidth="1"/>
    <col min="37" max="37" width="9.140625"/>
    <col min="38" max="38" width="10.85546875" bestFit="1" customWidth="1"/>
    <col min="39" max="228" width="9.140625"/>
    <col min="229" max="229" width="5.42578125" customWidth="1"/>
    <col min="230" max="230" width="56.42578125" customWidth="1"/>
    <col min="231" max="231" width="15.28515625" customWidth="1"/>
    <col min="232" max="232" width="15.85546875" customWidth="1"/>
    <col min="233" max="233" width="15.140625" customWidth="1"/>
    <col min="234" max="292" width="13.7109375" customWidth="1"/>
    <col min="293" max="484" width="9.140625"/>
    <col min="485" max="485" width="5.42578125" customWidth="1"/>
    <col min="486" max="486" width="56.42578125" customWidth="1"/>
    <col min="487" max="487" width="15.28515625" customWidth="1"/>
    <col min="488" max="488" width="15.85546875" customWidth="1"/>
    <col min="489" max="489" width="15.140625" customWidth="1"/>
    <col min="490" max="548" width="13.7109375" customWidth="1"/>
    <col min="549" max="740" width="9.140625"/>
    <col min="741" max="741" width="5.42578125" customWidth="1"/>
    <col min="742" max="742" width="56.42578125" customWidth="1"/>
    <col min="743" max="743" width="15.28515625" customWidth="1"/>
    <col min="744" max="744" width="15.85546875" customWidth="1"/>
    <col min="745" max="745" width="15.140625" customWidth="1"/>
    <col min="746" max="804" width="13.7109375" customWidth="1"/>
    <col min="805" max="996" width="9.140625"/>
    <col min="997" max="997" width="5.42578125" customWidth="1"/>
    <col min="998" max="998" width="56.42578125" customWidth="1"/>
    <col min="999" max="999" width="15.28515625" customWidth="1"/>
    <col min="1000" max="1000" width="15.85546875" customWidth="1"/>
    <col min="1001" max="1001" width="15.140625" customWidth="1"/>
    <col min="1002" max="1060" width="13.7109375" customWidth="1"/>
    <col min="1061" max="1252" width="9.140625"/>
    <col min="1253" max="1253" width="5.42578125" customWidth="1"/>
    <col min="1254" max="1254" width="56.42578125" customWidth="1"/>
    <col min="1255" max="1255" width="15.28515625" customWidth="1"/>
    <col min="1256" max="1256" width="15.85546875" customWidth="1"/>
    <col min="1257" max="1257" width="15.140625" customWidth="1"/>
    <col min="1258" max="1316" width="13.7109375" customWidth="1"/>
    <col min="1317" max="1508" width="9.140625"/>
    <col min="1509" max="1509" width="5.42578125" customWidth="1"/>
    <col min="1510" max="1510" width="56.42578125" customWidth="1"/>
    <col min="1511" max="1511" width="15.28515625" customWidth="1"/>
    <col min="1512" max="1512" width="15.85546875" customWidth="1"/>
    <col min="1513" max="1513" width="15.140625" customWidth="1"/>
    <col min="1514" max="1572" width="13.7109375" customWidth="1"/>
    <col min="1573" max="1764" width="9.140625"/>
    <col min="1765" max="1765" width="5.42578125" customWidth="1"/>
    <col min="1766" max="1766" width="56.42578125" customWidth="1"/>
    <col min="1767" max="1767" width="15.28515625" customWidth="1"/>
    <col min="1768" max="1768" width="15.85546875" customWidth="1"/>
    <col min="1769" max="1769" width="15.140625" customWidth="1"/>
    <col min="1770" max="1828" width="13.7109375" customWidth="1"/>
    <col min="1829" max="2020" width="9.140625"/>
    <col min="2021" max="2021" width="5.42578125" customWidth="1"/>
    <col min="2022" max="2022" width="56.42578125" customWidth="1"/>
    <col min="2023" max="2023" width="15.28515625" customWidth="1"/>
    <col min="2024" max="2024" width="15.85546875" customWidth="1"/>
    <col min="2025" max="2025" width="15.140625" customWidth="1"/>
    <col min="2026" max="2084" width="13.7109375" customWidth="1"/>
    <col min="2085" max="2276" width="9.140625"/>
    <col min="2277" max="2277" width="5.42578125" customWidth="1"/>
    <col min="2278" max="2278" width="56.42578125" customWidth="1"/>
    <col min="2279" max="2279" width="15.28515625" customWidth="1"/>
    <col min="2280" max="2280" width="15.85546875" customWidth="1"/>
    <col min="2281" max="2281" width="15.140625" customWidth="1"/>
    <col min="2282" max="2340" width="13.7109375" customWidth="1"/>
    <col min="2341" max="2532" width="9.140625"/>
    <col min="2533" max="2533" width="5.42578125" customWidth="1"/>
    <col min="2534" max="2534" width="56.42578125" customWidth="1"/>
    <col min="2535" max="2535" width="15.28515625" customWidth="1"/>
    <col min="2536" max="2536" width="15.85546875" customWidth="1"/>
    <col min="2537" max="2537" width="15.140625" customWidth="1"/>
    <col min="2538" max="2596" width="13.7109375" customWidth="1"/>
    <col min="2597" max="2788" width="9.140625"/>
    <col min="2789" max="2789" width="5.42578125" customWidth="1"/>
    <col min="2790" max="2790" width="56.42578125" customWidth="1"/>
    <col min="2791" max="2791" width="15.28515625" customWidth="1"/>
    <col min="2792" max="2792" width="15.85546875" customWidth="1"/>
    <col min="2793" max="2793" width="15.140625" customWidth="1"/>
    <col min="2794" max="2852" width="13.7109375" customWidth="1"/>
    <col min="2853" max="3044" width="9.140625"/>
    <col min="3045" max="3045" width="5.42578125" customWidth="1"/>
    <col min="3046" max="3046" width="56.42578125" customWidth="1"/>
    <col min="3047" max="3047" width="15.28515625" customWidth="1"/>
    <col min="3048" max="3048" width="15.85546875" customWidth="1"/>
    <col min="3049" max="3049" width="15.140625" customWidth="1"/>
    <col min="3050" max="3108" width="13.7109375" customWidth="1"/>
    <col min="3109" max="3300" width="9.140625"/>
    <col min="3301" max="3301" width="5.42578125" customWidth="1"/>
    <col min="3302" max="3302" width="56.42578125" customWidth="1"/>
    <col min="3303" max="3303" width="15.28515625" customWidth="1"/>
    <col min="3304" max="3304" width="15.85546875" customWidth="1"/>
    <col min="3305" max="3305" width="15.140625" customWidth="1"/>
    <col min="3306" max="3364" width="13.7109375" customWidth="1"/>
    <col min="3365" max="3556" width="9.140625"/>
    <col min="3557" max="3557" width="5.42578125" customWidth="1"/>
    <col min="3558" max="3558" width="56.42578125" customWidth="1"/>
    <col min="3559" max="3559" width="15.28515625" customWidth="1"/>
    <col min="3560" max="3560" width="15.85546875" customWidth="1"/>
    <col min="3561" max="3561" width="15.140625" customWidth="1"/>
    <col min="3562" max="3620" width="13.7109375" customWidth="1"/>
    <col min="3621" max="3812" width="9.140625"/>
    <col min="3813" max="3813" width="5.42578125" customWidth="1"/>
    <col min="3814" max="3814" width="56.42578125" customWidth="1"/>
    <col min="3815" max="3815" width="15.28515625" customWidth="1"/>
    <col min="3816" max="3816" width="15.85546875" customWidth="1"/>
    <col min="3817" max="3817" width="15.140625" customWidth="1"/>
    <col min="3818" max="3876" width="13.7109375" customWidth="1"/>
    <col min="3877" max="4068" width="9.140625"/>
    <col min="4069" max="4069" width="5.42578125" customWidth="1"/>
    <col min="4070" max="4070" width="56.42578125" customWidth="1"/>
    <col min="4071" max="4071" width="15.28515625" customWidth="1"/>
    <col min="4072" max="4072" width="15.85546875" customWidth="1"/>
    <col min="4073" max="4073" width="15.140625" customWidth="1"/>
    <col min="4074" max="4132" width="13.7109375" customWidth="1"/>
    <col min="4133" max="4324" width="9.140625"/>
    <col min="4325" max="4325" width="5.42578125" customWidth="1"/>
    <col min="4326" max="4326" width="56.42578125" customWidth="1"/>
    <col min="4327" max="4327" width="15.28515625" customWidth="1"/>
    <col min="4328" max="4328" width="15.85546875" customWidth="1"/>
    <col min="4329" max="4329" width="15.140625" customWidth="1"/>
    <col min="4330" max="4388" width="13.7109375" customWidth="1"/>
    <col min="4389" max="4580" width="9.140625"/>
    <col min="4581" max="4581" width="5.42578125" customWidth="1"/>
    <col min="4582" max="4582" width="56.42578125" customWidth="1"/>
    <col min="4583" max="4583" width="15.28515625" customWidth="1"/>
    <col min="4584" max="4584" width="15.85546875" customWidth="1"/>
    <col min="4585" max="4585" width="15.140625" customWidth="1"/>
    <col min="4586" max="4644" width="13.7109375" customWidth="1"/>
    <col min="4645" max="4836" width="9.140625"/>
    <col min="4837" max="4837" width="5.42578125" customWidth="1"/>
    <col min="4838" max="4838" width="56.42578125" customWidth="1"/>
    <col min="4839" max="4839" width="15.28515625" customWidth="1"/>
    <col min="4840" max="4840" width="15.85546875" customWidth="1"/>
    <col min="4841" max="4841" width="15.140625" customWidth="1"/>
    <col min="4842" max="4900" width="13.7109375" customWidth="1"/>
    <col min="4901" max="5092" width="9.140625"/>
    <col min="5093" max="5093" width="5.42578125" customWidth="1"/>
    <col min="5094" max="5094" width="56.42578125" customWidth="1"/>
    <col min="5095" max="5095" width="15.28515625" customWidth="1"/>
    <col min="5096" max="5096" width="15.85546875" customWidth="1"/>
    <col min="5097" max="5097" width="15.140625" customWidth="1"/>
    <col min="5098" max="5156" width="13.7109375" customWidth="1"/>
    <col min="5157" max="5348" width="9.140625"/>
    <col min="5349" max="5349" width="5.42578125" customWidth="1"/>
    <col min="5350" max="5350" width="56.42578125" customWidth="1"/>
    <col min="5351" max="5351" width="15.28515625" customWidth="1"/>
    <col min="5352" max="5352" width="15.85546875" customWidth="1"/>
    <col min="5353" max="5353" width="15.140625" customWidth="1"/>
    <col min="5354" max="5412" width="13.7109375" customWidth="1"/>
    <col min="5413" max="5604" width="9.140625"/>
    <col min="5605" max="5605" width="5.42578125" customWidth="1"/>
    <col min="5606" max="5606" width="56.42578125" customWidth="1"/>
    <col min="5607" max="5607" width="15.28515625" customWidth="1"/>
    <col min="5608" max="5608" width="15.85546875" customWidth="1"/>
    <col min="5609" max="5609" width="15.140625" customWidth="1"/>
    <col min="5610" max="5668" width="13.7109375" customWidth="1"/>
    <col min="5669" max="5860" width="9.140625"/>
    <col min="5861" max="5861" width="5.42578125" customWidth="1"/>
    <col min="5862" max="5862" width="56.42578125" customWidth="1"/>
    <col min="5863" max="5863" width="15.28515625" customWidth="1"/>
    <col min="5864" max="5864" width="15.85546875" customWidth="1"/>
    <col min="5865" max="5865" width="15.140625" customWidth="1"/>
    <col min="5866" max="5924" width="13.7109375" customWidth="1"/>
    <col min="5925" max="6116" width="9.140625"/>
    <col min="6117" max="6117" width="5.42578125" customWidth="1"/>
    <col min="6118" max="6118" width="56.42578125" customWidth="1"/>
    <col min="6119" max="6119" width="15.28515625" customWidth="1"/>
    <col min="6120" max="6120" width="15.85546875" customWidth="1"/>
    <col min="6121" max="6121" width="15.140625" customWidth="1"/>
    <col min="6122" max="6180" width="13.7109375" customWidth="1"/>
    <col min="6181" max="6372" width="9.140625"/>
    <col min="6373" max="6373" width="5.42578125" customWidth="1"/>
    <col min="6374" max="6374" width="56.42578125" customWidth="1"/>
    <col min="6375" max="6375" width="15.28515625" customWidth="1"/>
    <col min="6376" max="6376" width="15.85546875" customWidth="1"/>
    <col min="6377" max="6377" width="15.140625" customWidth="1"/>
    <col min="6378" max="6436" width="13.7109375" customWidth="1"/>
    <col min="6437" max="6628" width="9.140625"/>
    <col min="6629" max="6629" width="5.42578125" customWidth="1"/>
    <col min="6630" max="6630" width="56.42578125" customWidth="1"/>
    <col min="6631" max="6631" width="15.28515625" customWidth="1"/>
    <col min="6632" max="6632" width="15.85546875" customWidth="1"/>
    <col min="6633" max="6633" width="15.140625" customWidth="1"/>
    <col min="6634" max="6692" width="13.7109375" customWidth="1"/>
    <col min="6693" max="6884" width="9.140625"/>
    <col min="6885" max="6885" width="5.42578125" customWidth="1"/>
    <col min="6886" max="6886" width="56.42578125" customWidth="1"/>
    <col min="6887" max="6887" width="15.28515625" customWidth="1"/>
    <col min="6888" max="6888" width="15.85546875" customWidth="1"/>
    <col min="6889" max="6889" width="15.140625" customWidth="1"/>
    <col min="6890" max="6948" width="13.7109375" customWidth="1"/>
    <col min="6949" max="7140" width="9.140625"/>
    <col min="7141" max="7141" width="5.42578125" customWidth="1"/>
    <col min="7142" max="7142" width="56.42578125" customWidth="1"/>
    <col min="7143" max="7143" width="15.28515625" customWidth="1"/>
    <col min="7144" max="7144" width="15.85546875" customWidth="1"/>
    <col min="7145" max="7145" width="15.140625" customWidth="1"/>
    <col min="7146" max="7204" width="13.7109375" customWidth="1"/>
    <col min="7205" max="7396" width="9.140625"/>
    <col min="7397" max="7397" width="5.42578125" customWidth="1"/>
    <col min="7398" max="7398" width="56.42578125" customWidth="1"/>
    <col min="7399" max="7399" width="15.28515625" customWidth="1"/>
    <col min="7400" max="7400" width="15.85546875" customWidth="1"/>
    <col min="7401" max="7401" width="15.140625" customWidth="1"/>
    <col min="7402" max="7460" width="13.7109375" customWidth="1"/>
    <col min="7461" max="7652" width="9.140625"/>
    <col min="7653" max="7653" width="5.42578125" customWidth="1"/>
    <col min="7654" max="7654" width="56.42578125" customWidth="1"/>
    <col min="7655" max="7655" width="15.28515625" customWidth="1"/>
    <col min="7656" max="7656" width="15.85546875" customWidth="1"/>
    <col min="7657" max="7657" width="15.140625" customWidth="1"/>
    <col min="7658" max="7716" width="13.7109375" customWidth="1"/>
    <col min="7717" max="7908" width="9.140625"/>
    <col min="7909" max="7909" width="5.42578125" customWidth="1"/>
    <col min="7910" max="7910" width="56.42578125" customWidth="1"/>
    <col min="7911" max="7911" width="15.28515625" customWidth="1"/>
    <col min="7912" max="7912" width="15.85546875" customWidth="1"/>
    <col min="7913" max="7913" width="15.140625" customWidth="1"/>
    <col min="7914" max="7972" width="13.7109375" customWidth="1"/>
    <col min="7973" max="8164" width="9.140625"/>
    <col min="8165" max="8165" width="5.42578125" customWidth="1"/>
    <col min="8166" max="8166" width="56.42578125" customWidth="1"/>
    <col min="8167" max="8167" width="15.28515625" customWidth="1"/>
    <col min="8168" max="8168" width="15.85546875" customWidth="1"/>
    <col min="8169" max="8169" width="15.140625" customWidth="1"/>
    <col min="8170" max="8228" width="13.7109375" customWidth="1"/>
    <col min="8229" max="8420" width="9.140625"/>
    <col min="8421" max="8421" width="5.42578125" customWidth="1"/>
    <col min="8422" max="8422" width="56.42578125" customWidth="1"/>
    <col min="8423" max="8423" width="15.28515625" customWidth="1"/>
    <col min="8424" max="8424" width="15.85546875" customWidth="1"/>
    <col min="8425" max="8425" width="15.140625" customWidth="1"/>
    <col min="8426" max="8484" width="13.7109375" customWidth="1"/>
    <col min="8485" max="8676" width="9.140625"/>
    <col min="8677" max="8677" width="5.42578125" customWidth="1"/>
    <col min="8678" max="8678" width="56.42578125" customWidth="1"/>
    <col min="8679" max="8679" width="15.28515625" customWidth="1"/>
    <col min="8680" max="8680" width="15.85546875" customWidth="1"/>
    <col min="8681" max="8681" width="15.140625" customWidth="1"/>
    <col min="8682" max="8740" width="13.7109375" customWidth="1"/>
    <col min="8741" max="8932" width="9.140625"/>
    <col min="8933" max="8933" width="5.42578125" customWidth="1"/>
    <col min="8934" max="8934" width="56.42578125" customWidth="1"/>
    <col min="8935" max="8935" width="15.28515625" customWidth="1"/>
    <col min="8936" max="8936" width="15.85546875" customWidth="1"/>
    <col min="8937" max="8937" width="15.140625" customWidth="1"/>
    <col min="8938" max="8996" width="13.7109375" customWidth="1"/>
    <col min="8997" max="9188" width="9.140625"/>
    <col min="9189" max="9189" width="5.42578125" customWidth="1"/>
    <col min="9190" max="9190" width="56.42578125" customWidth="1"/>
    <col min="9191" max="9191" width="15.28515625" customWidth="1"/>
    <col min="9192" max="9192" width="15.85546875" customWidth="1"/>
    <col min="9193" max="9193" width="15.140625" customWidth="1"/>
    <col min="9194" max="9252" width="13.7109375" customWidth="1"/>
    <col min="9253" max="9444" width="9.140625"/>
    <col min="9445" max="9445" width="5.42578125" customWidth="1"/>
    <col min="9446" max="9446" width="56.42578125" customWidth="1"/>
    <col min="9447" max="9447" width="15.28515625" customWidth="1"/>
    <col min="9448" max="9448" width="15.85546875" customWidth="1"/>
    <col min="9449" max="9449" width="15.140625" customWidth="1"/>
    <col min="9450" max="9508" width="13.7109375" customWidth="1"/>
    <col min="9509" max="9700" width="9.140625"/>
    <col min="9701" max="9701" width="5.42578125" customWidth="1"/>
    <col min="9702" max="9702" width="56.42578125" customWidth="1"/>
    <col min="9703" max="9703" width="15.28515625" customWidth="1"/>
    <col min="9704" max="9704" width="15.85546875" customWidth="1"/>
    <col min="9705" max="9705" width="15.140625" customWidth="1"/>
    <col min="9706" max="9764" width="13.7109375" customWidth="1"/>
    <col min="9765" max="9956" width="9.140625"/>
    <col min="9957" max="9957" width="5.42578125" customWidth="1"/>
    <col min="9958" max="9958" width="56.42578125" customWidth="1"/>
    <col min="9959" max="9959" width="15.28515625" customWidth="1"/>
    <col min="9960" max="9960" width="15.85546875" customWidth="1"/>
    <col min="9961" max="9961" width="15.140625" customWidth="1"/>
    <col min="9962" max="10020" width="13.7109375" customWidth="1"/>
    <col min="10021" max="10212" width="9.140625"/>
    <col min="10213" max="10213" width="5.42578125" customWidth="1"/>
    <col min="10214" max="10214" width="56.42578125" customWidth="1"/>
    <col min="10215" max="10215" width="15.28515625" customWidth="1"/>
    <col min="10216" max="10216" width="15.85546875" customWidth="1"/>
    <col min="10217" max="10217" width="15.140625" customWidth="1"/>
    <col min="10218" max="10276" width="13.7109375" customWidth="1"/>
    <col min="10277" max="10468" width="9.140625"/>
    <col min="10469" max="10469" width="5.42578125" customWidth="1"/>
    <col min="10470" max="10470" width="56.42578125" customWidth="1"/>
    <col min="10471" max="10471" width="15.28515625" customWidth="1"/>
    <col min="10472" max="10472" width="15.85546875" customWidth="1"/>
    <col min="10473" max="10473" width="15.140625" customWidth="1"/>
    <col min="10474" max="10532" width="13.7109375" customWidth="1"/>
    <col min="10533" max="10724" width="9.140625"/>
    <col min="10725" max="10725" width="5.42578125" customWidth="1"/>
    <col min="10726" max="10726" width="56.42578125" customWidth="1"/>
    <col min="10727" max="10727" width="15.28515625" customWidth="1"/>
    <col min="10728" max="10728" width="15.85546875" customWidth="1"/>
    <col min="10729" max="10729" width="15.140625" customWidth="1"/>
    <col min="10730" max="10788" width="13.7109375" customWidth="1"/>
    <col min="10789" max="10980" width="9.140625"/>
    <col min="10981" max="10981" width="5.42578125" customWidth="1"/>
    <col min="10982" max="10982" width="56.42578125" customWidth="1"/>
    <col min="10983" max="10983" width="15.28515625" customWidth="1"/>
    <col min="10984" max="10984" width="15.85546875" customWidth="1"/>
    <col min="10985" max="10985" width="15.140625" customWidth="1"/>
    <col min="10986" max="11044" width="13.7109375" customWidth="1"/>
    <col min="11045" max="11236" width="9.140625"/>
    <col min="11237" max="11237" width="5.42578125" customWidth="1"/>
    <col min="11238" max="11238" width="56.42578125" customWidth="1"/>
    <col min="11239" max="11239" width="15.28515625" customWidth="1"/>
    <col min="11240" max="11240" width="15.85546875" customWidth="1"/>
    <col min="11241" max="11241" width="15.140625" customWidth="1"/>
    <col min="11242" max="11300" width="13.7109375" customWidth="1"/>
    <col min="11301" max="11492" width="9.140625"/>
    <col min="11493" max="11493" width="5.42578125" customWidth="1"/>
    <col min="11494" max="11494" width="56.42578125" customWidth="1"/>
    <col min="11495" max="11495" width="15.28515625" customWidth="1"/>
    <col min="11496" max="11496" width="15.85546875" customWidth="1"/>
    <col min="11497" max="11497" width="15.140625" customWidth="1"/>
    <col min="11498" max="11556" width="13.7109375" customWidth="1"/>
    <col min="11557" max="11748" width="9.140625"/>
    <col min="11749" max="11749" width="5.42578125" customWidth="1"/>
    <col min="11750" max="11750" width="56.42578125" customWidth="1"/>
    <col min="11751" max="11751" width="15.28515625" customWidth="1"/>
    <col min="11752" max="11752" width="15.85546875" customWidth="1"/>
    <col min="11753" max="11753" width="15.140625" customWidth="1"/>
    <col min="11754" max="11812" width="13.7109375" customWidth="1"/>
    <col min="11813" max="12004" width="9.140625"/>
    <col min="12005" max="12005" width="5.42578125" customWidth="1"/>
    <col min="12006" max="12006" width="56.42578125" customWidth="1"/>
    <col min="12007" max="12007" width="15.28515625" customWidth="1"/>
    <col min="12008" max="12008" width="15.85546875" customWidth="1"/>
    <col min="12009" max="12009" width="15.140625" customWidth="1"/>
    <col min="12010" max="12068" width="13.7109375" customWidth="1"/>
    <col min="12069" max="12260" width="9.140625"/>
    <col min="12261" max="12261" width="5.42578125" customWidth="1"/>
    <col min="12262" max="12262" width="56.42578125" customWidth="1"/>
    <col min="12263" max="12263" width="15.28515625" customWidth="1"/>
    <col min="12264" max="12264" width="15.85546875" customWidth="1"/>
    <col min="12265" max="12265" width="15.140625" customWidth="1"/>
    <col min="12266" max="12324" width="13.7109375" customWidth="1"/>
    <col min="12325" max="12516" width="9.140625"/>
    <col min="12517" max="12517" width="5.42578125" customWidth="1"/>
    <col min="12518" max="12518" width="56.42578125" customWidth="1"/>
    <col min="12519" max="12519" width="15.28515625" customWidth="1"/>
    <col min="12520" max="12520" width="15.85546875" customWidth="1"/>
    <col min="12521" max="12521" width="15.140625" customWidth="1"/>
    <col min="12522" max="12580" width="13.7109375" customWidth="1"/>
    <col min="12581" max="12772" width="9.140625"/>
    <col min="12773" max="12773" width="5.42578125" customWidth="1"/>
    <col min="12774" max="12774" width="56.42578125" customWidth="1"/>
    <col min="12775" max="12775" width="15.28515625" customWidth="1"/>
    <col min="12776" max="12776" width="15.85546875" customWidth="1"/>
    <col min="12777" max="12777" width="15.140625" customWidth="1"/>
    <col min="12778" max="12836" width="13.7109375" customWidth="1"/>
    <col min="12837" max="13028" width="9.140625"/>
    <col min="13029" max="13029" width="5.42578125" customWidth="1"/>
    <col min="13030" max="13030" width="56.42578125" customWidth="1"/>
    <col min="13031" max="13031" width="15.28515625" customWidth="1"/>
    <col min="13032" max="13032" width="15.85546875" customWidth="1"/>
    <col min="13033" max="13033" width="15.140625" customWidth="1"/>
    <col min="13034" max="13092" width="13.7109375" customWidth="1"/>
    <col min="13093" max="13284" width="9.140625"/>
    <col min="13285" max="13285" width="5.42578125" customWidth="1"/>
    <col min="13286" max="13286" width="56.42578125" customWidth="1"/>
    <col min="13287" max="13287" width="15.28515625" customWidth="1"/>
    <col min="13288" max="13288" width="15.85546875" customWidth="1"/>
    <col min="13289" max="13289" width="15.140625" customWidth="1"/>
    <col min="13290" max="13348" width="13.7109375" customWidth="1"/>
    <col min="13349" max="13540" width="9.140625"/>
    <col min="13541" max="13541" width="5.42578125" customWidth="1"/>
    <col min="13542" max="13542" width="56.42578125" customWidth="1"/>
    <col min="13543" max="13543" width="15.28515625" customWidth="1"/>
    <col min="13544" max="13544" width="15.85546875" customWidth="1"/>
    <col min="13545" max="13545" width="15.140625" customWidth="1"/>
    <col min="13546" max="13604" width="13.7109375" customWidth="1"/>
    <col min="13605" max="13796" width="9.140625"/>
    <col min="13797" max="13797" width="5.42578125" customWidth="1"/>
    <col min="13798" max="13798" width="56.42578125" customWidth="1"/>
    <col min="13799" max="13799" width="15.28515625" customWidth="1"/>
    <col min="13800" max="13800" width="15.85546875" customWidth="1"/>
    <col min="13801" max="13801" width="15.140625" customWidth="1"/>
    <col min="13802" max="13860" width="13.7109375" customWidth="1"/>
    <col min="13861" max="14052" width="9.140625"/>
    <col min="14053" max="14053" width="5.42578125" customWidth="1"/>
    <col min="14054" max="14054" width="56.42578125" customWidth="1"/>
    <col min="14055" max="14055" width="15.28515625" customWidth="1"/>
    <col min="14056" max="14056" width="15.85546875" customWidth="1"/>
    <col min="14057" max="14057" width="15.140625" customWidth="1"/>
    <col min="14058" max="14116" width="13.7109375" customWidth="1"/>
    <col min="14117" max="14308" width="9.140625"/>
    <col min="14309" max="14309" width="5.42578125" customWidth="1"/>
    <col min="14310" max="14310" width="56.42578125" customWidth="1"/>
    <col min="14311" max="14311" width="15.28515625" customWidth="1"/>
    <col min="14312" max="14312" width="15.85546875" customWidth="1"/>
    <col min="14313" max="14313" width="15.140625" customWidth="1"/>
    <col min="14314" max="14372" width="13.7109375" customWidth="1"/>
    <col min="14373" max="14564" width="9.140625"/>
    <col min="14565" max="14565" width="5.42578125" customWidth="1"/>
    <col min="14566" max="14566" width="56.42578125" customWidth="1"/>
    <col min="14567" max="14567" width="15.28515625" customWidth="1"/>
    <col min="14568" max="14568" width="15.85546875" customWidth="1"/>
    <col min="14569" max="14569" width="15.140625" customWidth="1"/>
    <col min="14570" max="14628" width="13.7109375" customWidth="1"/>
    <col min="14629" max="14820" width="9.140625"/>
    <col min="14821" max="14821" width="5.42578125" customWidth="1"/>
    <col min="14822" max="14822" width="56.42578125" customWidth="1"/>
    <col min="14823" max="14823" width="15.28515625" customWidth="1"/>
    <col min="14824" max="14824" width="15.85546875" customWidth="1"/>
    <col min="14825" max="14825" width="15.140625" customWidth="1"/>
    <col min="14826" max="14884" width="13.7109375" customWidth="1"/>
    <col min="14885" max="15076" width="9.140625"/>
    <col min="15077" max="15077" width="5.42578125" customWidth="1"/>
    <col min="15078" max="15078" width="56.42578125" customWidth="1"/>
    <col min="15079" max="15079" width="15.28515625" customWidth="1"/>
    <col min="15080" max="15080" width="15.85546875" customWidth="1"/>
    <col min="15081" max="15081" width="15.140625" customWidth="1"/>
    <col min="15082" max="15140" width="13.7109375" customWidth="1"/>
    <col min="15141" max="15332" width="9.140625"/>
    <col min="15333" max="15333" width="5.42578125" customWidth="1"/>
    <col min="15334" max="15334" width="56.42578125" customWidth="1"/>
    <col min="15335" max="15335" width="15.28515625" customWidth="1"/>
    <col min="15336" max="15336" width="15.85546875" customWidth="1"/>
    <col min="15337" max="15337" width="15.140625" customWidth="1"/>
    <col min="15338" max="15396" width="13.7109375" customWidth="1"/>
    <col min="15397" max="15588" width="9.140625"/>
    <col min="15589" max="15589" width="5.42578125" customWidth="1"/>
    <col min="15590" max="15590" width="56.42578125" customWidth="1"/>
    <col min="15591" max="15591" width="15.28515625" customWidth="1"/>
    <col min="15592" max="15592" width="15.85546875" customWidth="1"/>
    <col min="15593" max="15593" width="15.140625" customWidth="1"/>
    <col min="15594" max="15652" width="13.7109375" customWidth="1"/>
    <col min="15653" max="15844" width="9.140625"/>
    <col min="15845" max="15845" width="5.42578125" customWidth="1"/>
    <col min="15846" max="15846" width="56.42578125" customWidth="1"/>
    <col min="15847" max="15847" width="15.28515625" customWidth="1"/>
    <col min="15848" max="15848" width="15.85546875" customWidth="1"/>
    <col min="15849" max="15849" width="15.140625" customWidth="1"/>
    <col min="15850" max="15908" width="13.7109375" customWidth="1"/>
    <col min="15909" max="16100" width="9.140625"/>
    <col min="16101" max="16101" width="5.42578125" customWidth="1"/>
    <col min="16102" max="16102" width="56.42578125" customWidth="1"/>
    <col min="16103" max="16103" width="15.28515625" customWidth="1"/>
    <col min="16104" max="16104" width="15.85546875" customWidth="1"/>
    <col min="16105" max="16105" width="15.140625" customWidth="1"/>
    <col min="16106" max="16164" width="13.7109375" customWidth="1"/>
    <col min="16165" max="16384" width="9.140625"/>
  </cols>
  <sheetData>
    <row r="1" spans="2:36" ht="15.75" x14ac:dyDescent="0.25">
      <c r="F1" s="12" t="s">
        <v>48</v>
      </c>
    </row>
    <row r="2" spans="2:36" s="1" customFormat="1" x14ac:dyDescent="0.2">
      <c r="B2" s="1" t="s">
        <v>92</v>
      </c>
      <c r="E2" s="157" t="s">
        <v>47</v>
      </c>
      <c r="F2" s="13">
        <v>0</v>
      </c>
      <c r="G2" s="13">
        <v>1</v>
      </c>
      <c r="H2" s="13">
        <v>2</v>
      </c>
      <c r="I2" s="13">
        <v>3</v>
      </c>
      <c r="J2" s="13">
        <v>4</v>
      </c>
      <c r="K2" s="13">
        <v>5</v>
      </c>
      <c r="L2" s="13">
        <v>6</v>
      </c>
      <c r="M2" s="13">
        <v>7</v>
      </c>
      <c r="N2" s="13">
        <v>8</v>
      </c>
      <c r="O2" s="13">
        <v>9</v>
      </c>
      <c r="P2" s="13">
        <v>10</v>
      </c>
      <c r="Q2" s="13">
        <v>11</v>
      </c>
      <c r="R2" s="13">
        <v>12</v>
      </c>
      <c r="S2" s="13">
        <v>13</v>
      </c>
      <c r="T2" s="13">
        <v>14</v>
      </c>
      <c r="U2" s="13">
        <v>15</v>
      </c>
      <c r="V2" s="13">
        <v>16</v>
      </c>
      <c r="W2" s="13">
        <v>17</v>
      </c>
      <c r="X2" s="13">
        <v>18</v>
      </c>
      <c r="Y2" s="13">
        <v>19</v>
      </c>
      <c r="Z2" s="13">
        <v>20</v>
      </c>
      <c r="AA2" s="13">
        <v>21</v>
      </c>
      <c r="AB2" s="13">
        <v>22</v>
      </c>
      <c r="AC2" s="13">
        <v>23</v>
      </c>
      <c r="AD2" s="13">
        <v>24</v>
      </c>
      <c r="AE2" s="13">
        <v>25</v>
      </c>
      <c r="AF2" s="13">
        <v>26</v>
      </c>
      <c r="AG2" s="13">
        <v>27</v>
      </c>
      <c r="AH2" s="13">
        <v>28</v>
      </c>
      <c r="AI2" s="13">
        <v>29</v>
      </c>
      <c r="AJ2" s="13">
        <v>30</v>
      </c>
    </row>
    <row r="3" spans="2:36" s="1" customFormat="1" x14ac:dyDescent="0.2"/>
    <row r="4" spans="2:36" s="1" customFormat="1" ht="15.75" x14ac:dyDescent="0.25">
      <c r="B4" s="17" t="s">
        <v>271</v>
      </c>
      <c r="C4" s="17"/>
      <c r="D4" s="17"/>
      <c r="E4" s="45" t="s">
        <v>2</v>
      </c>
      <c r="G4" s="18">
        <f>IF(G$2&gt;'Financial Inputs'!$G$24,0,'Financial Inputs'!$G$21)</f>
        <v>2877203.8209713846</v>
      </c>
      <c r="H4" s="18">
        <f>IF(H$2&gt;'Financial Inputs'!$G$24,0,'Financial Inputs'!$G$21)</f>
        <v>2877203.8209713846</v>
      </c>
      <c r="I4" s="18">
        <f>IF(I$2&gt;'Financial Inputs'!$G$24,0,'Financial Inputs'!$G$21)</f>
        <v>2877203.8209713846</v>
      </c>
      <c r="J4" s="18">
        <f>IF(J$2&gt;'Financial Inputs'!$G$24,0,'Financial Inputs'!$G$21)</f>
        <v>2877203.8209713846</v>
      </c>
      <c r="K4" s="18">
        <f>IF(K$2&gt;'Financial Inputs'!$G$24,0,'Financial Inputs'!$G$21)</f>
        <v>2877203.8209713846</v>
      </c>
      <c r="L4" s="18">
        <f>IF(L$2&gt;'Financial Inputs'!$G$24,0,'Financial Inputs'!$G$21)</f>
        <v>2877203.8209713846</v>
      </c>
      <c r="M4" s="18">
        <f>IF(M$2&gt;'Financial Inputs'!$G$24,0,'Financial Inputs'!$G$21)</f>
        <v>2877203.8209713846</v>
      </c>
      <c r="N4" s="18">
        <f>IF(N$2&gt;'Financial Inputs'!$G$24,0,'Financial Inputs'!$G$21)</f>
        <v>2877203.8209713846</v>
      </c>
      <c r="O4" s="18">
        <f>IF(O$2&gt;'Financial Inputs'!$G$24,0,'Financial Inputs'!$G$21)</f>
        <v>2877203.8209713846</v>
      </c>
      <c r="P4" s="18">
        <f>IF(P$2&gt;'Financial Inputs'!$G$24,0,'Financial Inputs'!$G$21)</f>
        <v>2877203.8209713846</v>
      </c>
      <c r="Q4" s="18">
        <f>IF(Q$2&gt;'Financial Inputs'!$G$24,0,'Financial Inputs'!$G$21)</f>
        <v>2877203.8209713846</v>
      </c>
      <c r="R4" s="18">
        <f>IF(R$2&gt;'Financial Inputs'!$G$24,0,'Financial Inputs'!$G$21)</f>
        <v>2877203.8209713846</v>
      </c>
      <c r="S4" s="18">
        <f>IF(S$2&gt;'Financial Inputs'!$G$24,0,'Financial Inputs'!$G$21)</f>
        <v>2877203.8209713846</v>
      </c>
      <c r="T4" s="18">
        <f>IF(T$2&gt;'Financial Inputs'!$G$24,0,'Financial Inputs'!$G$21)</f>
        <v>2877203.8209713846</v>
      </c>
      <c r="U4" s="18">
        <f>IF(U$2&gt;'Financial Inputs'!$G$24,0,'Financial Inputs'!$G$21)</f>
        <v>2877203.8209713846</v>
      </c>
      <c r="V4" s="18">
        <f>IF(V$2&gt;'Financial Inputs'!$G$24,0,'Financial Inputs'!$G$21)</f>
        <v>2877203.8209713846</v>
      </c>
      <c r="W4" s="18">
        <f>IF(W$2&gt;'Financial Inputs'!$G$24,0,'Financial Inputs'!$G$21)</f>
        <v>2877203.8209713846</v>
      </c>
      <c r="X4" s="18">
        <f>IF(X$2&gt;'Financial Inputs'!$G$24,0,'Financial Inputs'!$G$21)</f>
        <v>2877203.8209713846</v>
      </c>
      <c r="Y4" s="18">
        <f>IF(Y$2&gt;'Financial Inputs'!$G$24,0,'Financial Inputs'!$G$21)</f>
        <v>2877203.8209713846</v>
      </c>
      <c r="Z4" s="18">
        <f>IF(Z$2&gt;'Financial Inputs'!$G$24,0,'Financial Inputs'!$G$21)</f>
        <v>2877203.8209713846</v>
      </c>
      <c r="AA4" s="18">
        <f>IF(AA$2&gt;'Financial Inputs'!$G$24,0,'Financial Inputs'!$G$21)</f>
        <v>0</v>
      </c>
      <c r="AB4" s="18">
        <f>IF(AB$2&gt;'Financial Inputs'!$G$24,0,'Financial Inputs'!$G$21)</f>
        <v>0</v>
      </c>
      <c r="AC4" s="18">
        <f>IF(AC$2&gt;'Financial Inputs'!$G$24,0,'Financial Inputs'!$G$21)</f>
        <v>0</v>
      </c>
      <c r="AD4" s="18">
        <f>IF(AD$2&gt;'Financial Inputs'!$G$24,0,'Financial Inputs'!$G$21)</f>
        <v>0</v>
      </c>
      <c r="AE4" s="18">
        <f>IF(AE$2&gt;'Financial Inputs'!$G$24,0,'Financial Inputs'!$G$21)</f>
        <v>0</v>
      </c>
      <c r="AF4" s="18">
        <f>IF(AF$2&gt;'Financial Inputs'!$G$24,0,'Financial Inputs'!$G$21)</f>
        <v>0</v>
      </c>
      <c r="AG4" s="18">
        <f>IF(AG$2&gt;'Financial Inputs'!$G$24,0,'Financial Inputs'!$G$21)</f>
        <v>0</v>
      </c>
      <c r="AH4" s="18">
        <f>IF(AH$2&gt;'Financial Inputs'!$G$24,0,'Financial Inputs'!$G$21)</f>
        <v>0</v>
      </c>
      <c r="AI4" s="18">
        <f>IF(AI$2&gt;'Financial Inputs'!$G$24,0,'Financial Inputs'!$G$21)</f>
        <v>0</v>
      </c>
      <c r="AJ4" s="18">
        <f>IF(AJ$2&gt;'Financial Inputs'!$G$24,0,'Financial Inputs'!$G$21)</f>
        <v>0</v>
      </c>
    </row>
    <row r="5" spans="2:36" s="1" customFormat="1" ht="15.75" x14ac:dyDescent="0.25">
      <c r="B5" s="17" t="s">
        <v>277</v>
      </c>
      <c r="C5" s="17"/>
      <c r="D5" s="17"/>
      <c r="E5" s="45" t="s">
        <v>279</v>
      </c>
      <c r="G5" s="18">
        <f>IF(G$2&gt;'Financial Inputs'!$G$24,0,'Financial Inputs'!$P$150)</f>
        <v>42576.582840351111</v>
      </c>
      <c r="H5" s="18">
        <f>IF(H$2&gt;'Financial Inputs'!$G$24,0,'Financial Inputs'!$P$150)</f>
        <v>42576.582840351111</v>
      </c>
      <c r="I5" s="18">
        <f>IF(I$2&gt;'Financial Inputs'!$G$24,0,'Financial Inputs'!$P$150)</f>
        <v>42576.582840351111</v>
      </c>
      <c r="J5" s="18">
        <f>IF(J$2&gt;'Financial Inputs'!$G$24,0,'Financial Inputs'!$P$150)</f>
        <v>42576.582840351111</v>
      </c>
      <c r="K5" s="18">
        <f>IF(K$2&gt;'Financial Inputs'!$G$24,0,'Financial Inputs'!$P$150)</f>
        <v>42576.582840351111</v>
      </c>
      <c r="L5" s="18">
        <f>IF(L$2&gt;'Financial Inputs'!$G$24,0,'Financial Inputs'!$P$150)</f>
        <v>42576.582840351111</v>
      </c>
      <c r="M5" s="18">
        <f>IF(M$2&gt;'Financial Inputs'!$G$24,0,'Financial Inputs'!$P$150)</f>
        <v>42576.582840351111</v>
      </c>
      <c r="N5" s="18">
        <f>IF(N$2&gt;'Financial Inputs'!$G$24,0,'Financial Inputs'!$P$150)</f>
        <v>42576.582840351111</v>
      </c>
      <c r="O5" s="18">
        <f>IF(O$2&gt;'Financial Inputs'!$G$24,0,'Financial Inputs'!$P$150)</f>
        <v>42576.582840351111</v>
      </c>
      <c r="P5" s="18">
        <f>IF(P$2&gt;'Financial Inputs'!$G$24,0,'Financial Inputs'!$P$150)</f>
        <v>42576.582840351111</v>
      </c>
      <c r="Q5" s="18">
        <f>IF(Q$2&gt;'Financial Inputs'!$G$24,0,'Financial Inputs'!$P$150)</f>
        <v>42576.582840351111</v>
      </c>
      <c r="R5" s="18">
        <f>IF(R$2&gt;'Financial Inputs'!$G$24,0,'Financial Inputs'!$P$150)</f>
        <v>42576.582840351111</v>
      </c>
      <c r="S5" s="18">
        <f>IF(S$2&gt;'Financial Inputs'!$G$24,0,'Financial Inputs'!$P$150)</f>
        <v>42576.582840351111</v>
      </c>
      <c r="T5" s="18">
        <f>IF(T$2&gt;'Financial Inputs'!$G$24,0,'Financial Inputs'!$P$150)</f>
        <v>42576.582840351111</v>
      </c>
      <c r="U5" s="18">
        <f>IF(U$2&gt;'Financial Inputs'!$G$24,0,'Financial Inputs'!$P$150)</f>
        <v>42576.582840351111</v>
      </c>
      <c r="V5" s="18">
        <f>IF(V$2&gt;'Financial Inputs'!$G$24,0,'Financial Inputs'!$P$150)</f>
        <v>42576.582840351111</v>
      </c>
      <c r="W5" s="18">
        <f>IF(W$2&gt;'Financial Inputs'!$G$24,0,'Financial Inputs'!$P$150)</f>
        <v>42576.582840351111</v>
      </c>
      <c r="X5" s="18">
        <f>IF(X$2&gt;'Financial Inputs'!$G$24,0,'Financial Inputs'!$P$150)</f>
        <v>42576.582840351111</v>
      </c>
      <c r="Y5" s="18">
        <f>IF(Y$2&gt;'Financial Inputs'!$G$24,0,'Financial Inputs'!$P$150)</f>
        <v>42576.582840351111</v>
      </c>
      <c r="Z5" s="18">
        <f>IF(Z$2&gt;'Financial Inputs'!$G$24,0,'Financial Inputs'!$P$150)</f>
        <v>42576.582840351111</v>
      </c>
      <c r="AA5" s="18">
        <f>IF(AA$2&gt;'Financial Inputs'!$G$24,0,'Financial Inputs'!$P$150)</f>
        <v>0</v>
      </c>
      <c r="AB5" s="18">
        <f>IF(AB$2&gt;'Financial Inputs'!$G$24,0,'Financial Inputs'!$P$150)</f>
        <v>0</v>
      </c>
      <c r="AC5" s="18">
        <f>IF(AC$2&gt;'Financial Inputs'!$G$24,0,'Financial Inputs'!$P$150)</f>
        <v>0</v>
      </c>
      <c r="AD5" s="18">
        <f>IF(AD$2&gt;'Financial Inputs'!$G$24,0,'Financial Inputs'!$P$150)</f>
        <v>0</v>
      </c>
      <c r="AE5" s="18">
        <f>IF(AE$2&gt;'Financial Inputs'!$G$24,0,'Financial Inputs'!$P$150)</f>
        <v>0</v>
      </c>
      <c r="AF5" s="18">
        <f>IF(AF$2&gt;'Financial Inputs'!$G$24,0,'Financial Inputs'!$P$150)</f>
        <v>0</v>
      </c>
      <c r="AG5" s="18">
        <f>IF(AG$2&gt;'Financial Inputs'!$G$24,0,'Financial Inputs'!$P$150)</f>
        <v>0</v>
      </c>
      <c r="AH5" s="18">
        <f>IF(AH$2&gt;'Financial Inputs'!$G$24,0,'Financial Inputs'!$P$150)</f>
        <v>0</v>
      </c>
      <c r="AI5" s="18">
        <f>IF(AI$2&gt;'Financial Inputs'!$G$24,0,'Financial Inputs'!$P$150)</f>
        <v>0</v>
      </c>
      <c r="AJ5" s="18">
        <f>IF(AJ$2&gt;'Financial Inputs'!$G$24,0,'Financial Inputs'!$P$150)</f>
        <v>0</v>
      </c>
    </row>
    <row r="6" spans="2:36" ht="15.75" x14ac:dyDescent="0.25">
      <c r="B6" s="1" t="s">
        <v>418</v>
      </c>
      <c r="G6" s="207">
        <v>1</v>
      </c>
      <c r="H6" s="376">
        <f>G6*(1+'Financial Inputs'!$P$153)</f>
        <v>1.02</v>
      </c>
      <c r="I6" s="376">
        <f>H6*(1+'Financial Inputs'!$P$153)</f>
        <v>1.0404</v>
      </c>
      <c r="J6" s="376">
        <f>I6*(1+'Financial Inputs'!$P$153)</f>
        <v>1.0612079999999999</v>
      </c>
      <c r="K6" s="376">
        <f>J6*(1+'Financial Inputs'!$P$153)</f>
        <v>1.08243216</v>
      </c>
      <c r="L6" s="376">
        <f>K6*(1+'Financial Inputs'!$P$153)</f>
        <v>1.1040808032</v>
      </c>
      <c r="M6" s="376">
        <f>L6*(1+'Financial Inputs'!$P$153)</f>
        <v>1.1261624192640001</v>
      </c>
      <c r="N6" s="376">
        <f>M6*(1+'Financial Inputs'!$P$153)</f>
        <v>1.14868566764928</v>
      </c>
      <c r="O6" s="376">
        <f>N6*(1+'Financial Inputs'!$P$153)</f>
        <v>1.1716593810022657</v>
      </c>
      <c r="P6" s="376">
        <f>O6*(1+'Financial Inputs'!$P$153)</f>
        <v>1.1950925686223111</v>
      </c>
      <c r="Q6" s="376">
        <f>P6*(1+'Financial Inputs'!$P$153)</f>
        <v>1.2189944199947573</v>
      </c>
      <c r="R6" s="376">
        <f>Q6*(1+'Financial Inputs'!$P$153)</f>
        <v>1.2433743083946525</v>
      </c>
      <c r="S6" s="376">
        <f>R6*(1+'Financial Inputs'!$P$153)</f>
        <v>1.2682417945625455</v>
      </c>
      <c r="T6" s="376">
        <f>S6*(1+'Financial Inputs'!$P$153)</f>
        <v>1.2936066304537963</v>
      </c>
      <c r="U6" s="376">
        <f>T6*(1+'Financial Inputs'!$P$153)</f>
        <v>1.3194787630628724</v>
      </c>
      <c r="V6" s="376">
        <f>U6*(1+'Financial Inputs'!$P$153)</f>
        <v>1.3458683383241299</v>
      </c>
      <c r="W6" s="376">
        <f>V6*(1+'Financial Inputs'!$P$153)</f>
        <v>1.3727857050906125</v>
      </c>
      <c r="X6" s="376">
        <f>W6*(1+'Financial Inputs'!$P$153)</f>
        <v>1.4002414191924248</v>
      </c>
      <c r="Y6" s="376">
        <f>X6*(1+'Financial Inputs'!$P$153)</f>
        <v>1.4282462475762734</v>
      </c>
      <c r="Z6" s="376">
        <f>Y6*(1+'Financial Inputs'!$P$153)</f>
        <v>1.4568111725277988</v>
      </c>
      <c r="AA6" s="376">
        <f>Z6*(1+'Financial Inputs'!$P$153)</f>
        <v>1.4859473959783549</v>
      </c>
      <c r="AB6" s="376">
        <f>AA6*(1+'Financial Inputs'!$P$153)</f>
        <v>1.5156663438979221</v>
      </c>
      <c r="AC6" s="376">
        <f>AB6*(1+'Financial Inputs'!$P$153)</f>
        <v>1.5459796707758806</v>
      </c>
      <c r="AD6" s="376">
        <f>AC6*(1+'Financial Inputs'!$P$153)</f>
        <v>1.5768992641913981</v>
      </c>
      <c r="AE6" s="376">
        <f>AD6*(1+'Financial Inputs'!$P$153)</f>
        <v>1.6084372494752261</v>
      </c>
      <c r="AF6" s="376">
        <f>AE6*(1+'Financial Inputs'!$P$153)</f>
        <v>1.6406059944647307</v>
      </c>
      <c r="AG6" s="376">
        <f>AF6*(1+'Financial Inputs'!$P$153)</f>
        <v>1.6734181143540252</v>
      </c>
      <c r="AH6" s="376">
        <f>AG6*(1+'Financial Inputs'!$P$153)</f>
        <v>1.7068864766411058</v>
      </c>
      <c r="AI6" s="376">
        <f>AH6*(1+'Financial Inputs'!$P$153)</f>
        <v>1.7410242061739281</v>
      </c>
      <c r="AJ6" s="376">
        <f>AI6*(1+'Financial Inputs'!$P$153)</f>
        <v>1.7758446902974065</v>
      </c>
    </row>
    <row r="8" spans="2:36" s="1" customFormat="1" ht="15.75" x14ac:dyDescent="0.25">
      <c r="B8" s="17" t="s">
        <v>76</v>
      </c>
      <c r="C8" s="17"/>
      <c r="D8" s="17"/>
      <c r="E8" s="45"/>
    </row>
    <row r="9" spans="2:36" s="1" customFormat="1" x14ac:dyDescent="0.2">
      <c r="B9" s="1" t="s">
        <v>282</v>
      </c>
      <c r="E9" s="45"/>
      <c r="G9" s="207">
        <v>1</v>
      </c>
      <c r="H9" s="16">
        <f>G9*(1+'Financial Inputs'!$P$22)</f>
        <v>1.02</v>
      </c>
      <c r="I9" s="16">
        <f>H9*(1+'Financial Inputs'!$P$22)</f>
        <v>1.0404</v>
      </c>
      <c r="J9" s="16">
        <f>I9*(1+'Financial Inputs'!$P$22)</f>
        <v>1.0612079999999999</v>
      </c>
      <c r="K9" s="16">
        <f>J9*(1+'Financial Inputs'!$P$22)</f>
        <v>1.08243216</v>
      </c>
      <c r="L9" s="16">
        <f>K9*(1+'Financial Inputs'!$P$22)</f>
        <v>1.1040808032</v>
      </c>
      <c r="M9" s="16">
        <f>L9*(1+'Financial Inputs'!$P$22)</f>
        <v>1.1261624192640001</v>
      </c>
      <c r="N9" s="16">
        <f>M9*(1+'Financial Inputs'!$P$22)</f>
        <v>1.14868566764928</v>
      </c>
      <c r="O9" s="16">
        <f>N9*(1+'Financial Inputs'!$P$22)</f>
        <v>1.1716593810022657</v>
      </c>
      <c r="P9" s="16">
        <f>O9*(1+'Financial Inputs'!$P$22)</f>
        <v>1.1950925686223111</v>
      </c>
      <c r="Q9" s="16">
        <f>P9*(1+'Financial Inputs'!$P$22)</f>
        <v>1.2189944199947573</v>
      </c>
      <c r="R9" s="16">
        <f>Q9*(1+'Financial Inputs'!$P$22)</f>
        <v>1.2433743083946525</v>
      </c>
      <c r="S9" s="16">
        <f>R9*(1+'Financial Inputs'!$P$22)</f>
        <v>1.2682417945625455</v>
      </c>
      <c r="T9" s="16">
        <f>S9*(1+'Financial Inputs'!$P$22)</f>
        <v>1.2936066304537963</v>
      </c>
      <c r="U9" s="16">
        <f>T9*(1+'Financial Inputs'!$P$22)</f>
        <v>1.3194787630628724</v>
      </c>
      <c r="V9" s="16">
        <f>U9*(1+'Financial Inputs'!$P$22)</f>
        <v>1.3458683383241299</v>
      </c>
      <c r="W9" s="16">
        <f>V9*(1+'Financial Inputs'!$P$22)</f>
        <v>1.3727857050906125</v>
      </c>
      <c r="X9" s="16">
        <f>W9*(1+'Financial Inputs'!$P$22)</f>
        <v>1.4002414191924248</v>
      </c>
      <c r="Y9" s="16">
        <f>X9*(1+'Financial Inputs'!$P$22)</f>
        <v>1.4282462475762734</v>
      </c>
      <c r="Z9" s="16">
        <f>Y9*(1+'Financial Inputs'!$P$22)</f>
        <v>1.4568111725277988</v>
      </c>
      <c r="AA9" s="16">
        <f>Z9*(1+'Financial Inputs'!$P$22)</f>
        <v>1.4859473959783549</v>
      </c>
      <c r="AB9" s="16">
        <f>AA9*(1+'Financial Inputs'!$P$22)</f>
        <v>1.5156663438979221</v>
      </c>
      <c r="AC9" s="16">
        <f>AB9*(1+'Financial Inputs'!$P$22)</f>
        <v>1.5459796707758806</v>
      </c>
      <c r="AD9" s="16">
        <f>AC9*(1+'Financial Inputs'!$P$22)</f>
        <v>1.5768992641913981</v>
      </c>
      <c r="AE9" s="16">
        <f>AD9*(1+'Financial Inputs'!$P$22)</f>
        <v>1.6084372494752261</v>
      </c>
      <c r="AF9" s="16">
        <f>AE9*(1+'Financial Inputs'!$P$22)</f>
        <v>1.6406059944647307</v>
      </c>
      <c r="AG9" s="16">
        <f>AF9*(1+'Financial Inputs'!$P$22)</f>
        <v>1.6734181143540252</v>
      </c>
      <c r="AH9" s="16">
        <f>AG9*(1+'Financial Inputs'!$P$22)</f>
        <v>1.7068864766411058</v>
      </c>
      <c r="AI9" s="16">
        <f>AH9*(1+'Financial Inputs'!$P$22)</f>
        <v>1.7410242061739281</v>
      </c>
      <c r="AJ9" s="16">
        <f>AI9*(1+'Financial Inputs'!$P$22)</f>
        <v>1.7758446902974065</v>
      </c>
    </row>
    <row r="10" spans="2:36" s="1" customFormat="1" x14ac:dyDescent="0.2">
      <c r="B10" s="368" t="s">
        <v>859</v>
      </c>
      <c r="E10" s="45"/>
      <c r="G10" s="207">
        <v>1</v>
      </c>
      <c r="H10" s="16">
        <f>G9*(1+'Financial Inputs'!$P$24)</f>
        <v>1.02</v>
      </c>
      <c r="I10" s="16">
        <f>H9*(1+'Financial Inputs'!$P$24)</f>
        <v>1.0404</v>
      </c>
      <c r="J10" s="16">
        <f>I9*(1+'Financial Inputs'!$P$24)</f>
        <v>1.0612079999999999</v>
      </c>
      <c r="K10" s="16">
        <f>J9*(1+'Financial Inputs'!$P$24)</f>
        <v>1.08243216</v>
      </c>
      <c r="L10" s="16">
        <f>K9*(1+'Financial Inputs'!$P$24)</f>
        <v>1.1040808032</v>
      </c>
      <c r="M10" s="16">
        <f>L9*(1+'Financial Inputs'!$P$24)</f>
        <v>1.1261624192640001</v>
      </c>
      <c r="N10" s="16">
        <f>M9*(1+'Financial Inputs'!$P$24)</f>
        <v>1.14868566764928</v>
      </c>
      <c r="O10" s="16">
        <f>N9*(1+'Financial Inputs'!$P$24)</f>
        <v>1.1716593810022657</v>
      </c>
      <c r="P10" s="16">
        <f>O9*(1+'Financial Inputs'!$P$24)</f>
        <v>1.1950925686223111</v>
      </c>
      <c r="Q10" s="16">
        <f>P9*(1+'Financial Inputs'!$P$24)</f>
        <v>1.2189944199947573</v>
      </c>
      <c r="R10" s="16">
        <f>Q9*(1+'Financial Inputs'!$P$24)</f>
        <v>1.2433743083946525</v>
      </c>
      <c r="S10" s="16">
        <f>R9*(1+'Financial Inputs'!$P$24)</f>
        <v>1.2682417945625455</v>
      </c>
      <c r="T10" s="16">
        <f>S9*(1+'Financial Inputs'!$P$24)</f>
        <v>1.2936066304537963</v>
      </c>
      <c r="U10" s="16">
        <f>T9*(1+'Financial Inputs'!$P$24)</f>
        <v>1.3194787630628724</v>
      </c>
      <c r="V10" s="16">
        <f>U9*(1+'Financial Inputs'!$P$24)</f>
        <v>1.3458683383241299</v>
      </c>
      <c r="W10" s="16">
        <f>V9*(1+'Financial Inputs'!$P$24)</f>
        <v>1.3727857050906125</v>
      </c>
      <c r="X10" s="16">
        <f>W9*(1+'Financial Inputs'!$P$24)</f>
        <v>1.4002414191924248</v>
      </c>
      <c r="Y10" s="16">
        <f>X9*(1+'Financial Inputs'!$P$24)</f>
        <v>1.4282462475762734</v>
      </c>
      <c r="Z10" s="16">
        <f>Y9*(1+'Financial Inputs'!$P$24)</f>
        <v>1.4568111725277988</v>
      </c>
      <c r="AA10" s="16">
        <f>Z9*(1+'Financial Inputs'!$P$24)</f>
        <v>1.4859473959783549</v>
      </c>
      <c r="AB10" s="16">
        <f>AA9*(1+'Financial Inputs'!$P$24)</f>
        <v>1.5156663438979221</v>
      </c>
      <c r="AC10" s="16">
        <f>AB9*(1+'Financial Inputs'!$P$24)</f>
        <v>1.5459796707758806</v>
      </c>
      <c r="AD10" s="16">
        <f>AC9*(1+'Financial Inputs'!$P$24)</f>
        <v>1.5768992641913981</v>
      </c>
      <c r="AE10" s="16">
        <f>AD9*(1+'Financial Inputs'!$P$24)</f>
        <v>1.6084372494752261</v>
      </c>
      <c r="AF10" s="16">
        <f>AE9*(1+'Financial Inputs'!$P$24)</f>
        <v>1.6406059944647307</v>
      </c>
      <c r="AG10" s="16">
        <f>AF9*(1+'Financial Inputs'!$P$24)</f>
        <v>1.6734181143540252</v>
      </c>
      <c r="AH10" s="16">
        <f>AG9*(1+'Financial Inputs'!$P$24)</f>
        <v>1.7068864766411058</v>
      </c>
      <c r="AI10" s="16">
        <f>AH9*(1+'Financial Inputs'!$P$24)</f>
        <v>1.7410242061739281</v>
      </c>
      <c r="AJ10" s="16">
        <f>AI9*(1+'Financial Inputs'!$P$24)</f>
        <v>1.7758446902974065</v>
      </c>
    </row>
    <row r="11" spans="2:36" s="1" customFormat="1" x14ac:dyDescent="0.2">
      <c r="B11" s="368" t="s">
        <v>858</v>
      </c>
      <c r="E11" s="45"/>
      <c r="G11" s="207">
        <v>1</v>
      </c>
      <c r="H11" s="16">
        <f>G9*(1+'Financial Inputs'!$P$26)</f>
        <v>1.02</v>
      </c>
      <c r="I11" s="16">
        <f>H9*(1+'Financial Inputs'!$P$26)</f>
        <v>1.0404</v>
      </c>
      <c r="J11" s="16">
        <f>I9*(1+'Financial Inputs'!$P$26)</f>
        <v>1.0612079999999999</v>
      </c>
      <c r="K11" s="16">
        <f>J9*(1+'Financial Inputs'!$P$26)</f>
        <v>1.08243216</v>
      </c>
      <c r="L11" s="16">
        <f>K9*(1+'Financial Inputs'!$P$26)</f>
        <v>1.1040808032</v>
      </c>
      <c r="M11" s="16">
        <f>L9*(1+'Financial Inputs'!$P$26)</f>
        <v>1.1261624192640001</v>
      </c>
      <c r="N11" s="16">
        <f>M9*(1+'Financial Inputs'!$P$26)</f>
        <v>1.14868566764928</v>
      </c>
      <c r="O11" s="16">
        <f>N9*(1+'Financial Inputs'!$P$26)</f>
        <v>1.1716593810022657</v>
      </c>
      <c r="P11" s="16">
        <f>O9*(1+'Financial Inputs'!$P$26)</f>
        <v>1.1950925686223111</v>
      </c>
      <c r="Q11" s="16">
        <f>P9*(1+'Financial Inputs'!$P$26)</f>
        <v>1.2189944199947573</v>
      </c>
      <c r="R11" s="16">
        <f>Q9*(1+'Financial Inputs'!$P$26)</f>
        <v>1.2433743083946525</v>
      </c>
      <c r="S11" s="16">
        <f>R9*(1+'Financial Inputs'!$P$26)</f>
        <v>1.2682417945625455</v>
      </c>
      <c r="T11" s="16">
        <f>S9*(1+'Financial Inputs'!$P$26)</f>
        <v>1.2936066304537963</v>
      </c>
      <c r="U11" s="16">
        <f>T9*(1+'Financial Inputs'!$P$26)</f>
        <v>1.3194787630628724</v>
      </c>
      <c r="V11" s="16">
        <f>U9*(1+'Financial Inputs'!$P$26)</f>
        <v>1.3458683383241299</v>
      </c>
      <c r="W11" s="16">
        <f>V9*(1+'Financial Inputs'!$P$26)</f>
        <v>1.3727857050906125</v>
      </c>
      <c r="X11" s="16">
        <f>W9*(1+'Financial Inputs'!$P$26)</f>
        <v>1.4002414191924248</v>
      </c>
      <c r="Y11" s="16">
        <f>X9*(1+'Financial Inputs'!$P$26)</f>
        <v>1.4282462475762734</v>
      </c>
      <c r="Z11" s="16">
        <f>Y9*(1+'Financial Inputs'!$P$26)</f>
        <v>1.4568111725277988</v>
      </c>
      <c r="AA11" s="16">
        <f>Z9*(1+'Financial Inputs'!$P$26)</f>
        <v>1.4859473959783549</v>
      </c>
      <c r="AB11" s="16">
        <f>AA9*(1+'Financial Inputs'!$P$26)</f>
        <v>1.5156663438979221</v>
      </c>
      <c r="AC11" s="16">
        <f>AB9*(1+'Financial Inputs'!$P$26)</f>
        <v>1.5459796707758806</v>
      </c>
      <c r="AD11" s="16">
        <f>AC9*(1+'Financial Inputs'!$P$26)</f>
        <v>1.5768992641913981</v>
      </c>
      <c r="AE11" s="16">
        <f>AD9*(1+'Financial Inputs'!$P$26)</f>
        <v>1.6084372494752261</v>
      </c>
      <c r="AF11" s="16">
        <f>AE9*(1+'Financial Inputs'!$P$26)</f>
        <v>1.6406059944647307</v>
      </c>
      <c r="AG11" s="16">
        <f>AF9*(1+'Financial Inputs'!$P$26)</f>
        <v>1.6734181143540252</v>
      </c>
      <c r="AH11" s="16">
        <f>AG9*(1+'Financial Inputs'!$P$26)</f>
        <v>1.7068864766411058</v>
      </c>
      <c r="AI11" s="16">
        <f>AH9*(1+'Financial Inputs'!$P$26)</f>
        <v>1.7410242061739281</v>
      </c>
      <c r="AJ11" s="16">
        <f>AI9*(1+'Financial Inputs'!$P$26)</f>
        <v>1.7758446902974065</v>
      </c>
    </row>
    <row r="12" spans="2:36" s="1" customFormat="1" x14ac:dyDescent="0.2">
      <c r="B12" s="1" t="s">
        <v>110</v>
      </c>
      <c r="E12" s="45"/>
      <c r="G12" s="207">
        <v>1</v>
      </c>
      <c r="H12" s="16">
        <f>G12*(1+'Financial Inputs'!$P$43)</f>
        <v>1.02</v>
      </c>
      <c r="I12" s="16">
        <f>H12*(1+'Financial Inputs'!$P$43)</f>
        <v>1.0404</v>
      </c>
      <c r="J12" s="16">
        <f>I12*(1+'Financial Inputs'!$P$43)</f>
        <v>1.0612079999999999</v>
      </c>
      <c r="K12" s="16">
        <f>J12*(1+'Financial Inputs'!$P$43)</f>
        <v>1.08243216</v>
      </c>
      <c r="L12" s="16">
        <f>K12*(1+'Financial Inputs'!$P$43)</f>
        <v>1.1040808032</v>
      </c>
      <c r="M12" s="16">
        <f>L12*(1+'Financial Inputs'!$P$43)</f>
        <v>1.1261624192640001</v>
      </c>
      <c r="N12" s="16">
        <f>M12*(1+'Financial Inputs'!$P$43)</f>
        <v>1.14868566764928</v>
      </c>
      <c r="O12" s="16">
        <f>N12*(1+'Financial Inputs'!$P$43)</f>
        <v>1.1716593810022657</v>
      </c>
      <c r="P12" s="16">
        <f>O12*(1+'Financial Inputs'!$P$43)</f>
        <v>1.1950925686223111</v>
      </c>
      <c r="Q12" s="16">
        <f>P12*(1+'Financial Inputs'!$P$43)</f>
        <v>1.2189944199947573</v>
      </c>
      <c r="R12" s="16">
        <f>Q12*(1+'Financial Inputs'!$P$43)</f>
        <v>1.2433743083946525</v>
      </c>
      <c r="S12" s="16">
        <f>R12*(1+'Financial Inputs'!$P$43)</f>
        <v>1.2682417945625455</v>
      </c>
      <c r="T12" s="16">
        <f>S12*(1+'Financial Inputs'!$P$43)</f>
        <v>1.2936066304537963</v>
      </c>
      <c r="U12" s="16">
        <f>T12*(1+'Financial Inputs'!$P$43)</f>
        <v>1.3194787630628724</v>
      </c>
      <c r="V12" s="16">
        <f>U12*(1+'Financial Inputs'!$P$43)</f>
        <v>1.3458683383241299</v>
      </c>
      <c r="W12" s="16">
        <f>V12*(1+'Financial Inputs'!$P$43)</f>
        <v>1.3727857050906125</v>
      </c>
      <c r="X12" s="16">
        <f>W12*(1+'Financial Inputs'!$P$43)</f>
        <v>1.4002414191924248</v>
      </c>
      <c r="Y12" s="16">
        <f>X12*(1+'Financial Inputs'!$P$43)</f>
        <v>1.4282462475762734</v>
      </c>
      <c r="Z12" s="16">
        <f>Y12*(1+'Financial Inputs'!$P$43)</f>
        <v>1.4568111725277988</v>
      </c>
      <c r="AA12" s="16">
        <f>Z12*(1+'Financial Inputs'!$P$43)</f>
        <v>1.4859473959783549</v>
      </c>
      <c r="AB12" s="16">
        <f>AA12*(1+'Financial Inputs'!$P$43)</f>
        <v>1.5156663438979221</v>
      </c>
      <c r="AC12" s="16">
        <f>AB12*(1+'Financial Inputs'!$P$43)</f>
        <v>1.5459796707758806</v>
      </c>
      <c r="AD12" s="16">
        <f>AC12*(1+'Financial Inputs'!$P$43)</f>
        <v>1.5768992641913981</v>
      </c>
      <c r="AE12" s="16">
        <f>AD12*(1+'Financial Inputs'!$P$43)</f>
        <v>1.6084372494752261</v>
      </c>
      <c r="AF12" s="16">
        <f>AE12*(1+'Financial Inputs'!$P$43)</f>
        <v>1.6406059944647307</v>
      </c>
      <c r="AG12" s="16">
        <f>AF12*(1+'Financial Inputs'!$P$43)</f>
        <v>1.6734181143540252</v>
      </c>
      <c r="AH12" s="16">
        <f>AG12*(1+'Financial Inputs'!$P$43)</f>
        <v>1.7068864766411058</v>
      </c>
      <c r="AI12" s="16">
        <f>AH12*(1+'Financial Inputs'!$P$43)</f>
        <v>1.7410242061739281</v>
      </c>
      <c r="AJ12" s="16">
        <f>AI12*(1+'Financial Inputs'!$P$43)</f>
        <v>1.7758446902974065</v>
      </c>
    </row>
    <row r="13" spans="2:36" s="1" customFormat="1" ht="15.75" x14ac:dyDescent="0.25">
      <c r="E13" s="45"/>
      <c r="F13" s="45"/>
      <c r="G13" s="52"/>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row>
    <row r="14" spans="2:36" s="1" customFormat="1" x14ac:dyDescent="0.2">
      <c r="B14" s="1" t="s">
        <v>284</v>
      </c>
      <c r="E14" s="45" t="s">
        <v>283</v>
      </c>
      <c r="F14" s="54"/>
      <c r="G14" s="391">
        <f>'Financial Inputs'!$P$147*G6</f>
        <v>0.09</v>
      </c>
      <c r="H14" s="391">
        <f>'Financial Inputs'!$P$147*H6</f>
        <v>9.1799999999999993E-2</v>
      </c>
      <c r="I14" s="391">
        <f>'Financial Inputs'!$P$147*I6</f>
        <v>9.3635999999999997E-2</v>
      </c>
      <c r="J14" s="391">
        <f>'Financial Inputs'!$P$147*J6</f>
        <v>9.5508719999999991E-2</v>
      </c>
      <c r="K14" s="391">
        <f>'Financial Inputs'!$P$147*K6</f>
        <v>9.7418894399999997E-2</v>
      </c>
      <c r="L14" s="391">
        <f>'Financial Inputs'!$P$147*L6</f>
        <v>9.9367272287999991E-2</v>
      </c>
      <c r="M14" s="391">
        <f>'Financial Inputs'!$P$147*M6</f>
        <v>0.10135461773376001</v>
      </c>
      <c r="N14" s="391">
        <f>'Financial Inputs'!$P$147*N6</f>
        <v>0.10338171008843521</v>
      </c>
      <c r="O14" s="391">
        <f>'Financial Inputs'!$P$147*O6</f>
        <v>0.10544934429020392</v>
      </c>
      <c r="P14" s="391">
        <f>'Financial Inputs'!$P$147*P6</f>
        <v>0.10755833117600799</v>
      </c>
      <c r="Q14" s="391">
        <f>'Financial Inputs'!$P$147*Q6</f>
        <v>0.10970949779952816</v>
      </c>
      <c r="R14" s="391">
        <f>'Financial Inputs'!$P$147*R6</f>
        <v>0.11190368775551872</v>
      </c>
      <c r="S14" s="391">
        <f>'Financial Inputs'!$P$147*S6</f>
        <v>0.11414176151062909</v>
      </c>
      <c r="T14" s="391">
        <f>'Financial Inputs'!$P$147*T6</f>
        <v>0.11642459674084166</v>
      </c>
      <c r="U14" s="391">
        <f>'Financial Inputs'!$P$147*U6</f>
        <v>0.11875308867565851</v>
      </c>
      <c r="V14" s="391">
        <f>'Financial Inputs'!$P$147*V6</f>
        <v>0.12112815044917169</v>
      </c>
      <c r="W14" s="391">
        <f>'Financial Inputs'!$P$147*W6</f>
        <v>0.12355071345815512</v>
      </c>
      <c r="X14" s="391">
        <f>'Financial Inputs'!$P$147*X6</f>
        <v>0.12602172772731823</v>
      </c>
      <c r="Y14" s="391">
        <f>'Financial Inputs'!$P$147*Y6</f>
        <v>0.1285421622818646</v>
      </c>
      <c r="Z14" s="391">
        <f>'Financial Inputs'!$P$147*Z6</f>
        <v>0.13111300552750188</v>
      </c>
      <c r="AA14" s="391">
        <f>'Financial Inputs'!$P$147*AA6</f>
        <v>0.13373526563805194</v>
      </c>
      <c r="AB14" s="391">
        <f>'Financial Inputs'!$P$147*AB6</f>
        <v>0.13640997095081298</v>
      </c>
      <c r="AC14" s="391">
        <f>'Financial Inputs'!$P$147*AC6</f>
        <v>0.13913817036982926</v>
      </c>
      <c r="AD14" s="391">
        <f>'Financial Inputs'!$P$147*AD6</f>
        <v>0.14192093377722584</v>
      </c>
      <c r="AE14" s="391">
        <f>'Financial Inputs'!$P$147*AE6</f>
        <v>0.14475935245277036</v>
      </c>
      <c r="AF14" s="391">
        <f>'Financial Inputs'!$P$147*AF6</f>
        <v>0.14765453950182575</v>
      </c>
      <c r="AG14" s="391">
        <f>'Financial Inputs'!$P$147*AG6</f>
        <v>0.15060763029186228</v>
      </c>
      <c r="AH14" s="391">
        <f>'Financial Inputs'!$P$147*AH6</f>
        <v>0.15361978289769951</v>
      </c>
      <c r="AI14" s="391">
        <f>'Financial Inputs'!$P$147*AI6</f>
        <v>0.15669217855565351</v>
      </c>
      <c r="AJ14" s="391">
        <f>'Financial Inputs'!$P$147*AJ6</f>
        <v>0.15982602212676658</v>
      </c>
    </row>
    <row r="15" spans="2:36" s="1" customFormat="1" ht="15.75" x14ac:dyDescent="0.25">
      <c r="B15" s="17" t="s">
        <v>280</v>
      </c>
      <c r="E15" s="45" t="s">
        <v>0</v>
      </c>
      <c r="G15" s="19">
        <f>IF(G2&lt;='Financial Inputs'!$G$24,'Financial Inputs'!$G$21*G14,0)</f>
        <v>258948.34388742462</v>
      </c>
      <c r="H15" s="19">
        <f>IF(H2&lt;='Financial Inputs'!$G$24,'Financial Inputs'!$G$21*H14,0)</f>
        <v>264127.31076517311</v>
      </c>
      <c r="I15" s="19">
        <f>IF(I2&lt;='Financial Inputs'!$G$24,'Financial Inputs'!$G$21*I14,0)</f>
        <v>269409.85698047659</v>
      </c>
      <c r="J15" s="19">
        <f>IF(J2&lt;='Financial Inputs'!$G$24,'Financial Inputs'!$G$21*J14,0)</f>
        <v>274798.05412008608</v>
      </c>
      <c r="K15" s="19">
        <f>IF(K2&lt;='Financial Inputs'!$G$24,'Financial Inputs'!$G$21*K14,0)</f>
        <v>280294.01520248782</v>
      </c>
      <c r="L15" s="19">
        <f>IF(L2&lt;='Financial Inputs'!$G$24,'Financial Inputs'!$G$21*L14,0)</f>
        <v>285899.89550653758</v>
      </c>
      <c r="M15" s="19">
        <f>IF(M2&lt;='Financial Inputs'!$G$24,'Financial Inputs'!$G$21*M14,0)</f>
        <v>291617.89341666835</v>
      </c>
      <c r="N15" s="19">
        <f>IF(N2&lt;='Financial Inputs'!$G$24,'Financial Inputs'!$G$21*N14,0)</f>
        <v>297450.25128500169</v>
      </c>
      <c r="O15" s="19">
        <f>IF(O2&lt;='Financial Inputs'!$G$24,'Financial Inputs'!$G$21*O14,0)</f>
        <v>303399.25631070178</v>
      </c>
      <c r="P15" s="19">
        <f>IF(P2&lt;='Financial Inputs'!$G$24,'Financial Inputs'!$G$21*P14,0)</f>
        <v>309467.24143691582</v>
      </c>
      <c r="Q15" s="19">
        <f>IF(Q2&lt;='Financial Inputs'!$G$24,'Financial Inputs'!$G$21*Q14,0)</f>
        <v>315656.58626565413</v>
      </c>
      <c r="R15" s="19">
        <f>IF(R2&lt;='Financial Inputs'!$G$24,'Financial Inputs'!$G$21*R14,0)</f>
        <v>321969.71799096721</v>
      </c>
      <c r="S15" s="19">
        <f>IF(S2&lt;='Financial Inputs'!$G$24,'Financial Inputs'!$G$21*S14,0)</f>
        <v>328409.11235078651</v>
      </c>
      <c r="T15" s="19">
        <f>IF(T2&lt;='Financial Inputs'!$G$24,'Financial Inputs'!$G$21*T14,0)</f>
        <v>334977.29459780222</v>
      </c>
      <c r="U15" s="19">
        <f>IF(U2&lt;='Financial Inputs'!$G$24,'Financial Inputs'!$G$21*U14,0)</f>
        <v>341676.84048975835</v>
      </c>
      <c r="V15" s="19">
        <f>IF(V2&lt;='Financial Inputs'!$G$24,'Financial Inputs'!$G$21*V14,0)</f>
        <v>348510.37729955354</v>
      </c>
      <c r="W15" s="19">
        <f>IF(W2&lt;='Financial Inputs'!$G$24,'Financial Inputs'!$G$21*W14,0)</f>
        <v>355480.5848455446</v>
      </c>
      <c r="X15" s="19">
        <f>IF(X2&lt;='Financial Inputs'!$G$24,'Financial Inputs'!$G$21*X14,0)</f>
        <v>362590.19654245552</v>
      </c>
      <c r="Y15" s="19">
        <f>IF(Y2&lt;='Financial Inputs'!$G$24,'Financial Inputs'!$G$21*Y14,0)</f>
        <v>369842.00047330465</v>
      </c>
      <c r="Z15" s="19">
        <f>IF(Z2&lt;='Financial Inputs'!$G$24,'Financial Inputs'!$G$21*Z14,0)</f>
        <v>377238.8404827707</v>
      </c>
      <c r="AA15" s="19">
        <f>IF(AA2&lt;='Financial Inputs'!$G$24,'Financial Inputs'!$G$21*AA14,0)</f>
        <v>0</v>
      </c>
      <c r="AB15" s="19">
        <f>IF(AB2&lt;='Financial Inputs'!$G$24,'Financial Inputs'!$G$21*AB14,0)</f>
        <v>0</v>
      </c>
      <c r="AC15" s="19">
        <f>IF(AC2&lt;='Financial Inputs'!$G$24,'Financial Inputs'!$G$21*AC14,0)</f>
        <v>0</v>
      </c>
      <c r="AD15" s="19">
        <f>IF(AD2&lt;='Financial Inputs'!$G$24,'Financial Inputs'!$G$21*AD14,0)</f>
        <v>0</v>
      </c>
      <c r="AE15" s="19">
        <f>IF(AE2&lt;='Financial Inputs'!$G$24,'Financial Inputs'!$G$21*AE14,0)</f>
        <v>0</v>
      </c>
      <c r="AF15" s="19">
        <f>IF(AF2&lt;='Financial Inputs'!$G$24,'Financial Inputs'!$G$21*AF14,0)</f>
        <v>0</v>
      </c>
      <c r="AG15" s="19">
        <f>IF(AG2&lt;='Financial Inputs'!$G$24,'Financial Inputs'!$G$21*AG14,0)</f>
        <v>0</v>
      </c>
      <c r="AH15" s="19">
        <f>IF(AH2&lt;='Financial Inputs'!$G$24,'Financial Inputs'!$G$21*AH14,0)</f>
        <v>0</v>
      </c>
      <c r="AI15" s="19">
        <f>IF(AI2&lt;='Financial Inputs'!$G$24,'Financial Inputs'!$G$21*AI14,0)</f>
        <v>0</v>
      </c>
      <c r="AJ15" s="19">
        <f>IF(AJ2&lt;='Financial Inputs'!$G$24,'Financial Inputs'!$G$21*AJ14,0)</f>
        <v>0</v>
      </c>
    </row>
    <row r="16" spans="2:36" s="1" customFormat="1" x14ac:dyDescent="0.2">
      <c r="B16" s="1" t="s">
        <v>265</v>
      </c>
      <c r="E16" s="45" t="s">
        <v>0</v>
      </c>
      <c r="G16" s="19">
        <f>IF(G2&gt;'Financial Inputs'!$G$24,0,('Financial Inputs'!$P$148*'Financial Inputs'!$P$149*G6))</f>
        <v>182500</v>
      </c>
      <c r="H16" s="19">
        <f>IF(H2&gt;'Financial Inputs'!$G$24,0,('Financial Inputs'!$P$148*'Financial Inputs'!$P$149*H6))</f>
        <v>186150</v>
      </c>
      <c r="I16" s="19">
        <f>IF(I2&gt;'Financial Inputs'!$G$24,0,('Financial Inputs'!$P$148*'Financial Inputs'!$P$149*I6))</f>
        <v>189873</v>
      </c>
      <c r="J16" s="19">
        <f>IF(J2&gt;'Financial Inputs'!$G$24,0,('Financial Inputs'!$P$148*'Financial Inputs'!$P$149*J6))</f>
        <v>193670.46</v>
      </c>
      <c r="K16" s="19">
        <f>IF(K2&gt;'Financial Inputs'!$G$24,0,('Financial Inputs'!$P$148*'Financial Inputs'!$P$149*K6))</f>
        <v>197543.86919999999</v>
      </c>
      <c r="L16" s="19">
        <f>IF(L2&gt;'Financial Inputs'!$G$24,0,('Financial Inputs'!$P$148*'Financial Inputs'!$P$149*L6))</f>
        <v>201494.74658400001</v>
      </c>
      <c r="M16" s="19">
        <f>IF(M2&gt;'Financial Inputs'!$G$24,0,('Financial Inputs'!$P$148*'Financial Inputs'!$P$149*M6))</f>
        <v>205524.64151568001</v>
      </c>
      <c r="N16" s="19">
        <f>IF(N2&gt;'Financial Inputs'!$G$24,0,('Financial Inputs'!$P$148*'Financial Inputs'!$P$149*N6))</f>
        <v>209635.1343459936</v>
      </c>
      <c r="O16" s="19">
        <f>IF(O2&gt;'Financial Inputs'!$G$24,0,('Financial Inputs'!$P$148*'Financial Inputs'!$P$149*O6))</f>
        <v>213827.83703291349</v>
      </c>
      <c r="P16" s="19">
        <f>IF(P2&gt;'Financial Inputs'!$G$24,0,('Financial Inputs'!$P$148*'Financial Inputs'!$P$149*P6))</f>
        <v>218104.39377357176</v>
      </c>
      <c r="Q16" s="19">
        <f>IF(Q2&gt;'Financial Inputs'!$G$24,0,('Financial Inputs'!$P$148*'Financial Inputs'!$P$149*Q6))</f>
        <v>222466.48164904321</v>
      </c>
      <c r="R16" s="19">
        <f>IF(R2&gt;'Financial Inputs'!$G$24,0,('Financial Inputs'!$P$148*'Financial Inputs'!$P$149*R6))</f>
        <v>226915.81128202408</v>
      </c>
      <c r="S16" s="19">
        <f>IF(S2&gt;'Financial Inputs'!$G$24,0,('Financial Inputs'!$P$148*'Financial Inputs'!$P$149*S6))</f>
        <v>231454.12750766455</v>
      </c>
      <c r="T16" s="19">
        <f>IF(T2&gt;'Financial Inputs'!$G$24,0,('Financial Inputs'!$P$148*'Financial Inputs'!$P$149*T6))</f>
        <v>236083.21005781784</v>
      </c>
      <c r="U16" s="19">
        <f>IF(U2&gt;'Financial Inputs'!$G$24,0,('Financial Inputs'!$P$148*'Financial Inputs'!$P$149*U6))</f>
        <v>240804.87425897422</v>
      </c>
      <c r="V16" s="19">
        <f>IF(V2&gt;'Financial Inputs'!$G$24,0,('Financial Inputs'!$P$148*'Financial Inputs'!$P$149*V6))</f>
        <v>245620.97174415371</v>
      </c>
      <c r="W16" s="19">
        <f>IF(W2&gt;'Financial Inputs'!$G$24,0,('Financial Inputs'!$P$148*'Financial Inputs'!$P$149*W6))</f>
        <v>250533.39117903679</v>
      </c>
      <c r="X16" s="19">
        <f>IF(X2&gt;'Financial Inputs'!$G$24,0,('Financial Inputs'!$P$148*'Financial Inputs'!$P$149*X6))</f>
        <v>255544.05900261752</v>
      </c>
      <c r="Y16" s="19">
        <f>IF(Y2&gt;'Financial Inputs'!$G$24,0,('Financial Inputs'!$P$148*'Financial Inputs'!$P$149*Y6))</f>
        <v>260654.9401826699</v>
      </c>
      <c r="Z16" s="19">
        <f>IF(Z2&gt;'Financial Inputs'!$G$24,0,('Financial Inputs'!$P$148*'Financial Inputs'!$P$149*Z6))</f>
        <v>265868.03898632328</v>
      </c>
      <c r="AA16" s="19">
        <f>IF(AA2&gt;'Financial Inputs'!$G$24,0,('Financial Inputs'!$P$148*'Financial Inputs'!$P$149*AA6))</f>
        <v>0</v>
      </c>
      <c r="AB16" s="19">
        <f>IF(AB2&gt;'Financial Inputs'!$G$24,0,('Financial Inputs'!$P$148*'Financial Inputs'!$P$149*AB6))</f>
        <v>0</v>
      </c>
      <c r="AC16" s="19">
        <f>IF(AC2&gt;'Financial Inputs'!$G$24,0,('Financial Inputs'!$P$148*'Financial Inputs'!$P$149*AC6))</f>
        <v>0</v>
      </c>
      <c r="AD16" s="19">
        <f>IF(AD2&gt;'Financial Inputs'!$G$24,0,('Financial Inputs'!$P$148*'Financial Inputs'!$P$149*AD6))</f>
        <v>0</v>
      </c>
      <c r="AE16" s="19">
        <f>IF(AE2&gt;'Financial Inputs'!$G$24,0,('Financial Inputs'!$P$148*'Financial Inputs'!$P$149*AE6))</f>
        <v>0</v>
      </c>
      <c r="AF16" s="19">
        <f>IF(AF2&gt;'Financial Inputs'!$G$24,0,('Financial Inputs'!$P$148*'Financial Inputs'!$P$149*AF6))</f>
        <v>0</v>
      </c>
      <c r="AG16" s="19">
        <f>IF(AG2&gt;'Financial Inputs'!$G$24,0,('Financial Inputs'!$P$148*'Financial Inputs'!$P$149*AG6))</f>
        <v>0</v>
      </c>
      <c r="AH16" s="19">
        <f>IF(AH2&gt;'Financial Inputs'!$G$24,0,('Financial Inputs'!$P$148*'Financial Inputs'!$P$149*AH6))</f>
        <v>0</v>
      </c>
      <c r="AI16" s="19">
        <f>IF(AI2&gt;'Financial Inputs'!$G$24,0,('Financial Inputs'!$P$148*'Financial Inputs'!$P$149*AI6))</f>
        <v>0</v>
      </c>
      <c r="AJ16" s="19">
        <f>IF(AJ2&gt;'Financial Inputs'!$G$24,0,('Financial Inputs'!$P$148*'Financial Inputs'!$P$149*AJ6))</f>
        <v>0</v>
      </c>
    </row>
    <row r="17" spans="2:37" s="1" customFormat="1" x14ac:dyDescent="0.2">
      <c r="B17" s="1" t="s">
        <v>278</v>
      </c>
      <c r="E17" s="45" t="s">
        <v>0</v>
      </c>
      <c r="G17" s="19">
        <f t="shared" ref="G17:AJ17" si="0">G5*G6</f>
        <v>42576.582840351111</v>
      </c>
      <c r="H17" s="19">
        <f t="shared" si="0"/>
        <v>43428.114497158138</v>
      </c>
      <c r="I17" s="19">
        <f t="shared" si="0"/>
        <v>44296.676787101293</v>
      </c>
      <c r="J17" s="19">
        <f t="shared" si="0"/>
        <v>45182.61032284332</v>
      </c>
      <c r="K17" s="19">
        <f t="shared" si="0"/>
        <v>46086.262529300191</v>
      </c>
      <c r="L17" s="19">
        <f t="shared" si="0"/>
        <v>47007.987779886193</v>
      </c>
      <c r="M17" s="19">
        <f t="shared" si="0"/>
        <v>47948.14753548392</v>
      </c>
      <c r="N17" s="19">
        <f t="shared" si="0"/>
        <v>48907.110486193596</v>
      </c>
      <c r="O17" s="19">
        <f t="shared" si="0"/>
        <v>49885.252695917472</v>
      </c>
      <c r="P17" s="19">
        <f t="shared" si="0"/>
        <v>50882.957749835819</v>
      </c>
      <c r="Q17" s="19">
        <f t="shared" si="0"/>
        <v>51900.616904832539</v>
      </c>
      <c r="R17" s="19">
        <f t="shared" si="0"/>
        <v>52938.629242929193</v>
      </c>
      <c r="S17" s="19">
        <f t="shared" si="0"/>
        <v>53997.401827787777</v>
      </c>
      <c r="T17" s="19">
        <f t="shared" si="0"/>
        <v>55077.349864343523</v>
      </c>
      <c r="U17" s="19">
        <f t="shared" si="0"/>
        <v>56178.896861630405</v>
      </c>
      <c r="V17" s="19">
        <f t="shared" si="0"/>
        <v>57302.474798863012</v>
      </c>
      <c r="W17" s="19">
        <f t="shared" si="0"/>
        <v>58448.524294840274</v>
      </c>
      <c r="X17" s="19">
        <f t="shared" si="0"/>
        <v>59617.494780737085</v>
      </c>
      <c r="Y17" s="19">
        <f t="shared" si="0"/>
        <v>60809.84467635183</v>
      </c>
      <c r="Z17" s="19">
        <f t="shared" si="0"/>
        <v>62026.041569878864</v>
      </c>
      <c r="AA17" s="19">
        <f t="shared" si="0"/>
        <v>0</v>
      </c>
      <c r="AB17" s="19">
        <f t="shared" si="0"/>
        <v>0</v>
      </c>
      <c r="AC17" s="19">
        <f t="shared" si="0"/>
        <v>0</v>
      </c>
      <c r="AD17" s="19">
        <f t="shared" si="0"/>
        <v>0</v>
      </c>
      <c r="AE17" s="19">
        <f t="shared" si="0"/>
        <v>0</v>
      </c>
      <c r="AF17" s="19">
        <f t="shared" si="0"/>
        <v>0</v>
      </c>
      <c r="AG17" s="19">
        <f t="shared" si="0"/>
        <v>0</v>
      </c>
      <c r="AH17" s="19">
        <f t="shared" si="0"/>
        <v>0</v>
      </c>
      <c r="AI17" s="19">
        <f t="shared" si="0"/>
        <v>0</v>
      </c>
      <c r="AJ17" s="19">
        <f t="shared" si="0"/>
        <v>0</v>
      </c>
    </row>
    <row r="18" spans="2:37" s="1" customFormat="1" x14ac:dyDescent="0.2">
      <c r="B18" s="220" t="s">
        <v>778</v>
      </c>
      <c r="E18" s="45" t="s">
        <v>0</v>
      </c>
      <c r="G18" s="19">
        <f>IF(G2&gt;'Financial Inputs'!$G$24,0,'Financial Inputs'!$P$151*'Detailed Cash Flow'!G6)</f>
        <v>127231.47841531181</v>
      </c>
      <c r="H18" s="19">
        <f>IF(H2&gt;'Financial Inputs'!$G$24,0,'Financial Inputs'!$P$151*'Detailed Cash Flow'!H6)</f>
        <v>129776.10798361804</v>
      </c>
      <c r="I18" s="19">
        <f>IF(I2&gt;'Financial Inputs'!$G$24,0,'Financial Inputs'!$P$151*'Detailed Cash Flow'!I6)</f>
        <v>132371.63014329041</v>
      </c>
      <c r="J18" s="19">
        <f>IF(J2&gt;'Financial Inputs'!$G$24,0,'Financial Inputs'!$P$151*'Detailed Cash Flow'!J6)</f>
        <v>135019.06274615621</v>
      </c>
      <c r="K18" s="19">
        <f>IF(K2&gt;'Financial Inputs'!$G$24,0,'Financial Inputs'!$P$151*'Detailed Cash Flow'!K6)</f>
        <v>137719.44400107933</v>
      </c>
      <c r="L18" s="19">
        <f>IF(L2&gt;'Financial Inputs'!$G$24,0,'Financial Inputs'!$P$151*'Detailed Cash Flow'!L6)</f>
        <v>140473.83288110094</v>
      </c>
      <c r="M18" s="19">
        <f>IF(M2&gt;'Financial Inputs'!$G$24,0,'Financial Inputs'!$P$151*'Detailed Cash Flow'!M6)</f>
        <v>143283.30953872294</v>
      </c>
      <c r="N18" s="19">
        <f>IF(N2&gt;'Financial Inputs'!$G$24,0,'Financial Inputs'!$P$151*'Detailed Cash Flow'!N6)</f>
        <v>146148.97572949741</v>
      </c>
      <c r="O18" s="19">
        <f>IF(O2&gt;'Financial Inputs'!$G$24,0,'Financial Inputs'!$P$151*'Detailed Cash Flow'!O6)</f>
        <v>149071.95524408738</v>
      </c>
      <c r="P18" s="19">
        <f>IF(P2&gt;'Financial Inputs'!$G$24,0,'Financial Inputs'!$P$151*'Detailed Cash Flow'!P6)</f>
        <v>152053.39434896913</v>
      </c>
      <c r="Q18" s="19">
        <f>IF(Q2&gt;'Financial Inputs'!$G$24,0,'Financial Inputs'!$P$151*'Detailed Cash Flow'!Q6)</f>
        <v>155094.46223594851</v>
      </c>
      <c r="R18" s="19">
        <f>IF(R2&gt;'Financial Inputs'!$G$24,0,'Financial Inputs'!$P$151*'Detailed Cash Flow'!R6)</f>
        <v>158196.35148066748</v>
      </c>
      <c r="S18" s="19">
        <f>IF(S2&gt;'Financial Inputs'!$G$24,0,'Financial Inputs'!$P$151*'Detailed Cash Flow'!S6)</f>
        <v>161360.27851028083</v>
      </c>
      <c r="T18" s="19">
        <f>IF(T2&gt;'Financial Inputs'!$G$24,0,'Financial Inputs'!$P$151*'Detailed Cash Flow'!T6)</f>
        <v>164587.48408048644</v>
      </c>
      <c r="U18" s="19">
        <f>IF(U2&gt;'Financial Inputs'!$G$24,0,'Financial Inputs'!$P$151*'Detailed Cash Flow'!U6)</f>
        <v>167879.23376209618</v>
      </c>
      <c r="V18" s="19">
        <f>IF(V2&gt;'Financial Inputs'!$G$24,0,'Financial Inputs'!$P$151*'Detailed Cash Flow'!V6)</f>
        <v>171236.81843733811</v>
      </c>
      <c r="W18" s="19">
        <f>IF(W2&gt;'Financial Inputs'!$G$24,0,'Financial Inputs'!$P$151*'Detailed Cash Flow'!W6)</f>
        <v>174661.55480608487</v>
      </c>
      <c r="X18" s="19">
        <f>IF(X2&gt;'Financial Inputs'!$G$24,0,'Financial Inputs'!$P$151*'Detailed Cash Flow'!X6)</f>
        <v>178154.78590220658</v>
      </c>
      <c r="Y18" s="19">
        <f>IF(Y2&gt;'Financial Inputs'!$G$24,0,'Financial Inputs'!$P$151*'Detailed Cash Flow'!Y6)</f>
        <v>181717.8816202507</v>
      </c>
      <c r="Z18" s="19">
        <f>IF(Z2&gt;'Financial Inputs'!$G$24,0,'Financial Inputs'!$P$151*'Detailed Cash Flow'!Z6)</f>
        <v>185352.23925265571</v>
      </c>
      <c r="AA18" s="19">
        <f>IF(AA2&gt;'Financial Inputs'!$G$24,0,'Financial Inputs'!$P$151*'Detailed Cash Flow'!AA6)</f>
        <v>0</v>
      </c>
      <c r="AB18" s="19">
        <f>IF(AB2&gt;'Financial Inputs'!$G$24,0,'Financial Inputs'!$P$151*'Detailed Cash Flow'!AB6)</f>
        <v>0</v>
      </c>
      <c r="AC18" s="19">
        <f>IF(AC2&gt;'Financial Inputs'!$G$24,0,'Financial Inputs'!$P$151*'Detailed Cash Flow'!AC6)</f>
        <v>0</v>
      </c>
      <c r="AD18" s="19">
        <f>IF(AD2&gt;'Financial Inputs'!$G$24,0,'Financial Inputs'!$P$151*'Detailed Cash Flow'!AD6)</f>
        <v>0</v>
      </c>
      <c r="AE18" s="19">
        <f>IF(AE2&gt;'Financial Inputs'!$G$24,0,'Financial Inputs'!$P$151*'Detailed Cash Flow'!AE6)</f>
        <v>0</v>
      </c>
      <c r="AF18" s="19">
        <f>IF(AF2&gt;'Financial Inputs'!$G$24,0,'Financial Inputs'!$P$151*'Detailed Cash Flow'!AF6)</f>
        <v>0</v>
      </c>
      <c r="AG18" s="19">
        <f>IF(AG2&gt;'Financial Inputs'!$G$24,0,'Financial Inputs'!$P$151*'Detailed Cash Flow'!AG6)</f>
        <v>0</v>
      </c>
      <c r="AH18" s="19">
        <f>IF(AH2&gt;'Financial Inputs'!$G$24,0,'Financial Inputs'!$P$151*'Detailed Cash Flow'!AH6)</f>
        <v>0</v>
      </c>
      <c r="AI18" s="19">
        <f>IF(AI2&gt;'Financial Inputs'!$G$24,0,'Financial Inputs'!$P$151*'Detailed Cash Flow'!AI6)</f>
        <v>0</v>
      </c>
      <c r="AJ18" s="19">
        <f>IF(AJ2&gt;'Financial Inputs'!$G$24,0,'Financial Inputs'!$P$151*'Detailed Cash Flow'!AJ6)</f>
        <v>0</v>
      </c>
      <c r="AK18" s="19"/>
    </row>
    <row r="19" spans="2:37" s="1" customFormat="1" x14ac:dyDescent="0.2">
      <c r="B19" s="220" t="s">
        <v>410</v>
      </c>
      <c r="E19" s="45" t="s">
        <v>0</v>
      </c>
      <c r="G19" s="19">
        <f>IF(G2&gt;'Financial Inputs'!$G$24,0,'Financial Inputs'!$P$152*'Detailed Cash Flow'!G6)</f>
        <v>125350.22533913102</v>
      </c>
      <c r="H19" s="19">
        <f>IF(H2&gt;'Financial Inputs'!$G$24,0,'Financial Inputs'!$P$152*'Detailed Cash Flow'!H6)</f>
        <v>127857.22984591365</v>
      </c>
      <c r="I19" s="19">
        <f>IF(I2&gt;'Financial Inputs'!$G$24,0,'Financial Inputs'!$P$152*'Detailed Cash Flow'!I6)</f>
        <v>130414.37444283192</v>
      </c>
      <c r="J19" s="19">
        <f>IF(J2&gt;'Financial Inputs'!$G$24,0,'Financial Inputs'!$P$152*'Detailed Cash Flow'!J6)</f>
        <v>133022.66193168855</v>
      </c>
      <c r="K19" s="19">
        <f>IF(K2&gt;'Financial Inputs'!$G$24,0,'Financial Inputs'!$P$152*'Detailed Cash Flow'!K6)</f>
        <v>135683.11517032233</v>
      </c>
      <c r="L19" s="19">
        <f>IF(L2&gt;'Financial Inputs'!$G$24,0,'Financial Inputs'!$P$152*'Detailed Cash Flow'!L6)</f>
        <v>138396.77747372878</v>
      </c>
      <c r="M19" s="19">
        <f>IF(M2&gt;'Financial Inputs'!$G$24,0,'Financial Inputs'!$P$152*'Detailed Cash Flow'!M6)</f>
        <v>141164.71302320337</v>
      </c>
      <c r="N19" s="19">
        <f>IF(N2&gt;'Financial Inputs'!$G$24,0,'Financial Inputs'!$P$152*'Detailed Cash Flow'!N6)</f>
        <v>143988.00728366742</v>
      </c>
      <c r="O19" s="19">
        <f>IF(O2&gt;'Financial Inputs'!$G$24,0,'Financial Inputs'!$P$152*'Detailed Cash Flow'!O6)</f>
        <v>146867.76742934078</v>
      </c>
      <c r="P19" s="19">
        <f>IF(P2&gt;'Financial Inputs'!$G$24,0,'Financial Inputs'!$P$152*'Detailed Cash Flow'!P6)</f>
        <v>149805.12277792761</v>
      </c>
      <c r="Q19" s="19">
        <f>IF(Q2&gt;'Financial Inputs'!$G$24,0,'Financial Inputs'!$P$152*'Detailed Cash Flow'!Q6)</f>
        <v>152801.22523348616</v>
      </c>
      <c r="R19" s="19">
        <f>IF(R2&gt;'Financial Inputs'!$G$24,0,'Financial Inputs'!$P$152*'Detailed Cash Flow'!R6)</f>
        <v>155857.24973815586</v>
      </c>
      <c r="S19" s="19">
        <f>IF(S2&gt;'Financial Inputs'!$G$24,0,'Financial Inputs'!$P$152*'Detailed Cash Flow'!S6)</f>
        <v>158974.394732919</v>
      </c>
      <c r="T19" s="19">
        <f>IF(T2&gt;'Financial Inputs'!$G$24,0,'Financial Inputs'!$P$152*'Detailed Cash Flow'!T6)</f>
        <v>162153.88262757735</v>
      </c>
      <c r="U19" s="19">
        <f>IF(U2&gt;'Financial Inputs'!$G$24,0,'Financial Inputs'!$P$152*'Detailed Cash Flow'!U6)</f>
        <v>165396.96028012893</v>
      </c>
      <c r="V19" s="19">
        <f>IF(V2&gt;'Financial Inputs'!$G$24,0,'Financial Inputs'!$P$152*'Detailed Cash Flow'!V6)</f>
        <v>168704.8994857315</v>
      </c>
      <c r="W19" s="19">
        <f>IF(W2&gt;'Financial Inputs'!$G$24,0,'Financial Inputs'!$P$152*'Detailed Cash Flow'!W6)</f>
        <v>172078.99747544614</v>
      </c>
      <c r="X19" s="19">
        <f>IF(X2&gt;'Financial Inputs'!$G$24,0,'Financial Inputs'!$P$152*'Detailed Cash Flow'!X6)</f>
        <v>175520.57742495509</v>
      </c>
      <c r="Y19" s="19">
        <f>IF(Y2&gt;'Financial Inputs'!$G$24,0,'Financial Inputs'!$P$152*'Detailed Cash Flow'!Y6)</f>
        <v>179030.98897345419</v>
      </c>
      <c r="Z19" s="19">
        <f>IF(Z2&gt;'Financial Inputs'!$G$24,0,'Financial Inputs'!$P$152*'Detailed Cash Flow'!Z6)</f>
        <v>182611.60875292326</v>
      </c>
      <c r="AA19" s="19">
        <f>IF(AA2&gt;'Financial Inputs'!$G$24,0,'Financial Inputs'!$P$152*'Detailed Cash Flow'!AA6)</f>
        <v>0</v>
      </c>
      <c r="AB19" s="19">
        <f>IF(AB2&gt;'Financial Inputs'!$G$24,0,'Financial Inputs'!$P$152*'Detailed Cash Flow'!AB6)</f>
        <v>0</v>
      </c>
      <c r="AC19" s="19">
        <f>IF(AC2&gt;'Financial Inputs'!$G$24,0,'Financial Inputs'!$P$152*'Detailed Cash Flow'!AC6)</f>
        <v>0</v>
      </c>
      <c r="AD19" s="19">
        <f>IF(AD2&gt;'Financial Inputs'!$G$24,0,'Financial Inputs'!$P$152*'Detailed Cash Flow'!AD6)</f>
        <v>0</v>
      </c>
      <c r="AE19" s="19">
        <f>IF(AE2&gt;'Financial Inputs'!$G$24,0,'Financial Inputs'!$P$152*'Detailed Cash Flow'!AE6)</f>
        <v>0</v>
      </c>
      <c r="AF19" s="19">
        <f>IF(AF2&gt;'Financial Inputs'!$G$24,0,'Financial Inputs'!$P$152*'Detailed Cash Flow'!AF6)</f>
        <v>0</v>
      </c>
      <c r="AG19" s="19">
        <f>IF(AG2&gt;'Financial Inputs'!$G$24,0,'Financial Inputs'!$P$152*'Detailed Cash Flow'!AG6)</f>
        <v>0</v>
      </c>
      <c r="AH19" s="19">
        <f>IF(AH2&gt;'Financial Inputs'!$G$24,0,'Financial Inputs'!$P$152*'Detailed Cash Flow'!AH6)</f>
        <v>0</v>
      </c>
      <c r="AI19" s="19">
        <f>IF(AI2&gt;'Financial Inputs'!$G$24,0,'Financial Inputs'!$P$152*'Detailed Cash Flow'!AI6)</f>
        <v>0</v>
      </c>
      <c r="AJ19" s="19">
        <f>IF(AJ2&gt;'Financial Inputs'!$G$24,0,'Financial Inputs'!$P$152*'Detailed Cash Flow'!AJ6)</f>
        <v>0</v>
      </c>
      <c r="AK19" s="19"/>
    </row>
    <row r="20" spans="2:37" s="1" customFormat="1" x14ac:dyDescent="0.2">
      <c r="B20" s="1" t="s">
        <v>77</v>
      </c>
      <c r="E20" s="45" t="s">
        <v>38</v>
      </c>
      <c r="G20" s="391">
        <f>'Financial Inputs'!$P$20*G$9+'Financial Inputs'!$P$23*G$10+'Financial Inputs'!$P$25*G$11</f>
        <v>1.3</v>
      </c>
      <c r="H20" s="391">
        <f>IF(H2&gt;'Financial Inputs'!$P$21,0,'Financial Inputs'!$P$20*H$9)+'Financial Inputs'!$P$23*H$10+'Financial Inputs'!$P$25*I$11</f>
        <v>1.3260000000000001</v>
      </c>
      <c r="I20" s="391">
        <f>IF(I2&gt;'Financial Inputs'!$P$21,0,'Financial Inputs'!$P$20*I$9)+'Financial Inputs'!$P$23*I$10+'Financial Inputs'!$P$25*J$11</f>
        <v>1.3525199999999999</v>
      </c>
      <c r="J20" s="391">
        <f>IF(J2&gt;'Financial Inputs'!$P$21,0,'Financial Inputs'!$P$20*J$9)+'Financial Inputs'!$P$23*J$10+'Financial Inputs'!$P$25*K$11</f>
        <v>1.3795704</v>
      </c>
      <c r="K20" s="391">
        <f>IF(K2&gt;'Financial Inputs'!$P$21,0,'Financial Inputs'!$P$20*K$9)+'Financial Inputs'!$P$23*K$10+'Financial Inputs'!$P$25*L$11</f>
        <v>1.4071618080000001</v>
      </c>
      <c r="L20" s="391">
        <f>IF(L2&gt;'Financial Inputs'!$P$21,0,'Financial Inputs'!$P$20*L$9)+'Financial Inputs'!$P$23*L$10+'Financial Inputs'!$P$25*M$11</f>
        <v>1.4353050441600002</v>
      </c>
      <c r="M20" s="391">
        <f>IF(M2&gt;'Financial Inputs'!$P$21,0,'Financial Inputs'!$P$20*M$9)+'Financial Inputs'!$P$23*M$10+'Financial Inputs'!$P$25*N$11</f>
        <v>1.4640111450432001</v>
      </c>
      <c r="N20" s="391">
        <f>IF(N2&gt;'Financial Inputs'!$P$21,0,'Financial Inputs'!$P$20*N$9)+'Financial Inputs'!$P$23*N$10+'Financial Inputs'!$P$25*O$11</f>
        <v>1.493291367944064</v>
      </c>
      <c r="O20" s="391">
        <f>IF(O2&gt;'Financial Inputs'!$P$21,0,'Financial Inputs'!$P$20*O$9)+'Financial Inputs'!$P$23*O$10+'Financial Inputs'!$P$25*P$11</f>
        <v>1.5231571953029455</v>
      </c>
      <c r="P20" s="391">
        <f>IF(P2&gt;'Financial Inputs'!$P$21,0,'Financial Inputs'!$P$20*P$9)+'Financial Inputs'!$P$23*P$10+'Financial Inputs'!$P$25*Q$11</f>
        <v>1.5536203392090044</v>
      </c>
      <c r="Q20" s="391">
        <f>IF(Q2&gt;'Financial Inputs'!$P$21,0,'Financial Inputs'!$P$20*Q$9)+'Financial Inputs'!$P$23*Q$10+'Financial Inputs'!$P$25*R$11</f>
        <v>0</v>
      </c>
      <c r="R20" s="391">
        <f>IF(R2&gt;'Financial Inputs'!$P$21,0,'Financial Inputs'!$P$20*R$9)+'Financial Inputs'!$P$23*R$10+'Financial Inputs'!$P$25*S$11</f>
        <v>0</v>
      </c>
      <c r="S20" s="391">
        <f>IF(S2&gt;'Financial Inputs'!$P$21,0,'Financial Inputs'!$P$20*S$9)+'Financial Inputs'!$P$23*S$10+'Financial Inputs'!$P$25*T$11</f>
        <v>0</v>
      </c>
      <c r="T20" s="391">
        <f>IF(T2&gt;'Financial Inputs'!$P$21,0,'Financial Inputs'!$P$20*T$9)+'Financial Inputs'!$P$23*T$10+'Financial Inputs'!$P$25*U$11</f>
        <v>0</v>
      </c>
      <c r="U20" s="391">
        <f>IF(U2&gt;'Financial Inputs'!$P$21,0,'Financial Inputs'!$P$20*U$9)+'Financial Inputs'!$P$23*U$10+'Financial Inputs'!$P$25*V$11</f>
        <v>0</v>
      </c>
      <c r="V20" s="391">
        <f>IF(V2&gt;'Financial Inputs'!$P$21,0,'Financial Inputs'!$P$20*V$9)+'Financial Inputs'!$P$23*V$10+'Financial Inputs'!$P$25*W$11</f>
        <v>0</v>
      </c>
      <c r="W20" s="391">
        <f>IF(W2&gt;'Financial Inputs'!$P$21,0,'Financial Inputs'!$P$20*W$9)+'Financial Inputs'!$P$23*W$10+'Financial Inputs'!$P$25*X$11</f>
        <v>0</v>
      </c>
      <c r="X20" s="391">
        <f>IF(X2&gt;'Financial Inputs'!$P$21,0,'Financial Inputs'!$P$20*X$9)+'Financial Inputs'!$P$23*X$10+'Financial Inputs'!$P$25*Y$11</f>
        <v>0</v>
      </c>
      <c r="Y20" s="391">
        <f>IF(Y2&gt;'Financial Inputs'!$P$21,0,'Financial Inputs'!$P$20*Y$9)+'Financial Inputs'!$P$23*Y$10+'Financial Inputs'!$P$25*Z$11</f>
        <v>0</v>
      </c>
      <c r="Z20" s="391">
        <f>IF(Z2&gt;'Financial Inputs'!$P$21,0,'Financial Inputs'!$P$20*Z$9)+'Financial Inputs'!$P$23*Z$10+'Financial Inputs'!$P$25*AA$11</f>
        <v>0</v>
      </c>
      <c r="AA20" s="391">
        <f>IF(AA2&gt;'Financial Inputs'!$P$21,0,'Financial Inputs'!$P$20*AA$9)+'Financial Inputs'!$P$23*AA$10+'Financial Inputs'!$P$25*AB$11</f>
        <v>0</v>
      </c>
      <c r="AB20" s="391">
        <f>IF(AB2&gt;'Financial Inputs'!$P$21,0,'Financial Inputs'!$P$20*AB$9)+'Financial Inputs'!$P$23*AB$10+'Financial Inputs'!$P$25*AC$11</f>
        <v>0</v>
      </c>
      <c r="AC20" s="391">
        <f>IF(AC2&gt;'Financial Inputs'!$P$21,0,'Financial Inputs'!$P$20*AC$9)+'Financial Inputs'!$P$23*AC$10+'Financial Inputs'!$P$25*AD$11</f>
        <v>0</v>
      </c>
      <c r="AD20" s="391">
        <f>IF(AD2&gt;'Financial Inputs'!$P$21,0,'Financial Inputs'!$P$20*AD$9)+'Financial Inputs'!$P$23*AD$10+'Financial Inputs'!$P$25*AE$11</f>
        <v>0</v>
      </c>
      <c r="AE20" s="391">
        <f>IF(AE2&gt;'Financial Inputs'!$P$21,0,'Financial Inputs'!$P$20*AE$9)+'Financial Inputs'!$P$23*AE$10+'Financial Inputs'!$P$25*AF$11</f>
        <v>0</v>
      </c>
      <c r="AF20" s="391">
        <f>IF(AF2&gt;'Financial Inputs'!$P$21,0,'Financial Inputs'!$P$20*AF$9)+'Financial Inputs'!$P$23*AF$10+'Financial Inputs'!$P$25*AG$11</f>
        <v>0</v>
      </c>
      <c r="AG20" s="391">
        <f>IF(AG2&gt;'Financial Inputs'!$P$21,0,'Financial Inputs'!$P$20*AG$9)+'Financial Inputs'!$P$23*AG$10+'Financial Inputs'!$P$25*AH$11</f>
        <v>0</v>
      </c>
      <c r="AH20" s="391">
        <f>IF(AH2&gt;'Financial Inputs'!$P$21,0,'Financial Inputs'!$P$20*AH$9)+'Financial Inputs'!$P$23*AH$10+'Financial Inputs'!$P$25*AI$11</f>
        <v>0</v>
      </c>
      <c r="AI20" s="391">
        <f>IF(AI2&gt;'Financial Inputs'!$P$21,0,'Financial Inputs'!$P$20*AI$9)+'Financial Inputs'!$P$23*AI$10+'Financial Inputs'!$P$25*AJ$11</f>
        <v>0</v>
      </c>
      <c r="AJ20" s="391">
        <f>IF(AJ2&gt;'Financial Inputs'!$P$21,0,'Financial Inputs'!$P$20*AJ$9)+'Financial Inputs'!$P$23*AJ$10+'Financial Inputs'!$P$25*AK$11</f>
        <v>0</v>
      </c>
    </row>
    <row r="21" spans="2:37" s="1" customFormat="1" x14ac:dyDescent="0.2">
      <c r="B21" s="1" t="s">
        <v>78</v>
      </c>
      <c r="E21" s="45" t="s">
        <v>0</v>
      </c>
      <c r="G21" s="19">
        <f t="shared" ref="G21:AJ21" si="1">(G$20*G$4)/100</f>
        <v>37403.649672628002</v>
      </c>
      <c r="H21" s="19">
        <f t="shared" si="1"/>
        <v>38151.722666080561</v>
      </c>
      <c r="I21" s="19">
        <f t="shared" si="1"/>
        <v>38914.757119402166</v>
      </c>
      <c r="J21" s="19">
        <f t="shared" si="1"/>
        <v>39693.052261790217</v>
      </c>
      <c r="K21" s="19">
        <f t="shared" si="1"/>
        <v>40486.913307026021</v>
      </c>
      <c r="L21" s="19">
        <f t="shared" si="1"/>
        <v>41296.651573166542</v>
      </c>
      <c r="M21" s="19">
        <f t="shared" si="1"/>
        <v>42122.584604629876</v>
      </c>
      <c r="N21" s="19">
        <f t="shared" si="1"/>
        <v>42965.036296722472</v>
      </c>
      <c r="O21" s="19">
        <f t="shared" si="1"/>
        <v>43824.337022656917</v>
      </c>
      <c r="P21" s="19">
        <f t="shared" si="1"/>
        <v>44700.823763110064</v>
      </c>
      <c r="Q21" s="19">
        <f t="shared" si="1"/>
        <v>0</v>
      </c>
      <c r="R21" s="19">
        <f t="shared" si="1"/>
        <v>0</v>
      </c>
      <c r="S21" s="19">
        <f t="shared" si="1"/>
        <v>0</v>
      </c>
      <c r="T21" s="19">
        <f t="shared" si="1"/>
        <v>0</v>
      </c>
      <c r="U21" s="19">
        <f t="shared" si="1"/>
        <v>0</v>
      </c>
      <c r="V21" s="19">
        <f t="shared" si="1"/>
        <v>0</v>
      </c>
      <c r="W21" s="19">
        <f t="shared" si="1"/>
        <v>0</v>
      </c>
      <c r="X21" s="19">
        <f t="shared" si="1"/>
        <v>0</v>
      </c>
      <c r="Y21" s="19">
        <f t="shared" si="1"/>
        <v>0</v>
      </c>
      <c r="Z21" s="19">
        <f t="shared" si="1"/>
        <v>0</v>
      </c>
      <c r="AA21" s="19">
        <f t="shared" si="1"/>
        <v>0</v>
      </c>
      <c r="AB21" s="19">
        <f t="shared" si="1"/>
        <v>0</v>
      </c>
      <c r="AC21" s="19">
        <f t="shared" si="1"/>
        <v>0</v>
      </c>
      <c r="AD21" s="19">
        <f t="shared" si="1"/>
        <v>0</v>
      </c>
      <c r="AE21" s="19">
        <f t="shared" si="1"/>
        <v>0</v>
      </c>
      <c r="AF21" s="19">
        <f t="shared" si="1"/>
        <v>0</v>
      </c>
      <c r="AG21" s="19">
        <f t="shared" si="1"/>
        <v>0</v>
      </c>
      <c r="AH21" s="19">
        <f t="shared" si="1"/>
        <v>0</v>
      </c>
      <c r="AI21" s="19">
        <f t="shared" si="1"/>
        <v>0</v>
      </c>
      <c r="AJ21" s="19">
        <f t="shared" si="1"/>
        <v>0</v>
      </c>
    </row>
    <row r="22" spans="2:37" s="1" customFormat="1" x14ac:dyDescent="0.2">
      <c r="B22" s="1" t="s">
        <v>79</v>
      </c>
      <c r="E22" s="45" t="s">
        <v>38</v>
      </c>
      <c r="G22" s="392">
        <f>IF(OR('Financial Inputs'!$P$32="Cost-Based",'Financial Inputs'!$P$32="Neither"),0,IF(AND('Financial Inputs'!$P$37="Cash",G$2&lt;='Financial Inputs'!$P$42),'Financial Inputs'!$P$40*G$12*'Financial Inputs'!$P$41,0))</f>
        <v>1.0549999999999999</v>
      </c>
      <c r="H22" s="392">
        <f>IF(OR('Financial Inputs'!$P$32="Cost-Based",'Financial Inputs'!$P$32="Neither"),0,IF(AND('Financial Inputs'!$P$37="Cash",H$2&lt;='Financial Inputs'!$P$42),'Financial Inputs'!$P$40*H$12*'Financial Inputs'!$P$41,0))</f>
        <v>1.0761000000000001</v>
      </c>
      <c r="I22" s="392">
        <f>IF(OR('Financial Inputs'!$P$32="Cost-Based",'Financial Inputs'!$P$32="Neither"),0,IF(AND('Financial Inputs'!$P$37="Cash",I$2&lt;='Financial Inputs'!$P$42),'Financial Inputs'!$P$40*I$12*'Financial Inputs'!$P$41,0))</f>
        <v>1.0976219999999999</v>
      </c>
      <c r="J22" s="392">
        <f>IF(OR('Financial Inputs'!$P$32="Cost-Based",'Financial Inputs'!$P$32="Neither"),0,IF(AND('Financial Inputs'!$P$37="Cash",J$2&lt;='Financial Inputs'!$P$42),'Financial Inputs'!$P$40*J$12*'Financial Inputs'!$P$41,0))</f>
        <v>1.1195744399999998</v>
      </c>
      <c r="K22" s="392">
        <f>IF(OR('Financial Inputs'!$P$32="Cost-Based",'Financial Inputs'!$P$32="Neither"),0,IF(AND('Financial Inputs'!$P$37="Cash",K$2&lt;='Financial Inputs'!$P$42),'Financial Inputs'!$P$40*K$12*'Financial Inputs'!$P$41,0))</f>
        <v>1.1419659287999999</v>
      </c>
      <c r="L22" s="392">
        <f>IF(OR('Financial Inputs'!$P$32="Cost-Based",'Financial Inputs'!$P$32="Neither"),0,IF(AND('Financial Inputs'!$P$37="Cash",L$2&lt;='Financial Inputs'!$P$42),'Financial Inputs'!$P$40*L$12*'Financial Inputs'!$P$41,0))</f>
        <v>1.164805247376</v>
      </c>
      <c r="M22" s="392">
        <f>IF(OR('Financial Inputs'!$P$32="Cost-Based",'Financial Inputs'!$P$32="Neither"),0,IF(AND('Financial Inputs'!$P$37="Cash",M$2&lt;='Financial Inputs'!$P$42),'Financial Inputs'!$P$40*M$12*'Financial Inputs'!$P$41,0))</f>
        <v>1.18810135232352</v>
      </c>
      <c r="N22" s="392">
        <f>IF(OR('Financial Inputs'!$P$32="Cost-Based",'Financial Inputs'!$P$32="Neither"),0,IF(AND('Financial Inputs'!$P$37="Cash",N$2&lt;='Financial Inputs'!$P$42),'Financial Inputs'!$P$40*N$12*'Financial Inputs'!$P$41,0))</f>
        <v>1.2118633793699904</v>
      </c>
      <c r="O22" s="392">
        <f>IF(OR('Financial Inputs'!$P$32="Cost-Based",'Financial Inputs'!$P$32="Neither"),0,IF(AND('Financial Inputs'!$P$37="Cash",O$2&lt;='Financial Inputs'!$P$42),'Financial Inputs'!$P$40*O$12*'Financial Inputs'!$P$41,0))</f>
        <v>1.2361006469573903</v>
      </c>
      <c r="P22" s="392">
        <f>IF(OR('Financial Inputs'!$P$32="Cost-Based",'Financial Inputs'!$P$32="Neither"),0,IF(AND('Financial Inputs'!$P$37="Cash",P$2&lt;='Financial Inputs'!$P$42),'Financial Inputs'!$P$40*P$12*'Financial Inputs'!$P$41,0))</f>
        <v>1.2608226598965382</v>
      </c>
      <c r="Q22" s="392">
        <f>IF(OR('Financial Inputs'!$P$32="Cost-Based",'Financial Inputs'!$P$32="Neither"),0,IF(AND('Financial Inputs'!$P$37="Cash",Q$2&lt;='Financial Inputs'!$P$42),'Financial Inputs'!$P$40*Q$12*'Financial Inputs'!$P$41,0))</f>
        <v>1.2860391130944688</v>
      </c>
      <c r="R22" s="392">
        <f>IF(OR('Financial Inputs'!$P$32="Cost-Based",'Financial Inputs'!$P$32="Neither"),0,IF(AND('Financial Inputs'!$P$37="Cash",R$2&lt;='Financial Inputs'!$P$42),'Financial Inputs'!$P$40*R$12*'Financial Inputs'!$P$41,0))</f>
        <v>1.3117598953563583</v>
      </c>
      <c r="S22" s="392">
        <f>IF(OR('Financial Inputs'!$P$32="Cost-Based",'Financial Inputs'!$P$32="Neither"),0,IF(AND('Financial Inputs'!$P$37="Cash",S$2&lt;='Financial Inputs'!$P$42),'Financial Inputs'!$P$40*S$12*'Financial Inputs'!$P$41,0))</f>
        <v>1.3379950932634854</v>
      </c>
      <c r="T22" s="392">
        <f>IF(OR('Financial Inputs'!$P$32="Cost-Based",'Financial Inputs'!$P$32="Neither"),0,IF(AND('Financial Inputs'!$P$37="Cash",T$2&lt;='Financial Inputs'!$P$42),'Financial Inputs'!$P$40*T$12*'Financial Inputs'!$P$41,0))</f>
        <v>1.364754995128755</v>
      </c>
      <c r="U22" s="392">
        <f>IF(OR('Financial Inputs'!$P$32="Cost-Based",'Financial Inputs'!$P$32="Neither"),0,IF(AND('Financial Inputs'!$P$37="Cash",U$2&lt;='Financial Inputs'!$P$42),'Financial Inputs'!$P$40*U$12*'Financial Inputs'!$P$41,0))</f>
        <v>1.3920500950313304</v>
      </c>
      <c r="V22" s="392">
        <f>IF(OR('Financial Inputs'!$P$32="Cost-Based",'Financial Inputs'!$P$32="Neither"),0,IF(AND('Financial Inputs'!$P$37="Cash",V$2&lt;='Financial Inputs'!$P$42),'Financial Inputs'!$P$40*V$12*'Financial Inputs'!$P$41,0))</f>
        <v>1.4198910969319569</v>
      </c>
      <c r="W22" s="392">
        <f>IF(OR('Financial Inputs'!$P$32="Cost-Based",'Financial Inputs'!$P$32="Neither"),0,IF(AND('Financial Inputs'!$P$37="Cash",W$2&lt;='Financial Inputs'!$P$42),'Financial Inputs'!$P$40*W$12*'Financial Inputs'!$P$41,0))</f>
        <v>1.4482889188705961</v>
      </c>
      <c r="X22" s="392">
        <f>IF(OR('Financial Inputs'!$P$32="Cost-Based",'Financial Inputs'!$P$32="Neither"),0,IF(AND('Financial Inputs'!$P$37="Cash",X$2&lt;='Financial Inputs'!$P$42),'Financial Inputs'!$P$40*X$12*'Financial Inputs'!$P$41,0))</f>
        <v>1.4772546972480081</v>
      </c>
      <c r="Y22" s="392">
        <f>IF(OR('Financial Inputs'!$P$32="Cost-Based",'Financial Inputs'!$P$32="Neither"),0,IF(AND('Financial Inputs'!$P$37="Cash",Y$2&lt;='Financial Inputs'!$P$42),'Financial Inputs'!$P$40*Y$12*'Financial Inputs'!$P$41,0))</f>
        <v>1.5067997911929683</v>
      </c>
      <c r="Z22" s="392">
        <f>IF(OR('Financial Inputs'!$P$32="Cost-Based",'Financial Inputs'!$P$32="Neither"),0,IF(AND('Financial Inputs'!$P$37="Cash",Z$2&lt;='Financial Inputs'!$P$42),'Financial Inputs'!$P$40*Z$12*'Financial Inputs'!$P$41,0))</f>
        <v>1.5369357870168276</v>
      </c>
      <c r="AA22" s="392">
        <f>IF(OR('Financial Inputs'!$P$32="Cost-Based",'Financial Inputs'!$P$32="Neither"),0,IF(AND('Financial Inputs'!$P$37="Cash",AA$2&lt;='Financial Inputs'!$P$42),'Financial Inputs'!$P$40*AA$12*'Financial Inputs'!$P$41,0))</f>
        <v>0</v>
      </c>
      <c r="AB22" s="392">
        <f>IF(OR('Financial Inputs'!$P$32="Cost-Based",'Financial Inputs'!$P$32="Neither"),0,IF(AND('Financial Inputs'!$P$37="Cash",AB$2&lt;='Financial Inputs'!$P$42),'Financial Inputs'!$P$40*AB$12*'Financial Inputs'!$P$41,0))</f>
        <v>0</v>
      </c>
      <c r="AC22" s="392">
        <f>IF(OR('Financial Inputs'!$P$32="Cost-Based",'Financial Inputs'!$P$32="Neither"),0,IF(AND('Financial Inputs'!$P$37="Cash",AC$2&lt;='Financial Inputs'!$P$42),'Financial Inputs'!$P$40*AC$12*'Financial Inputs'!$P$41,0))</f>
        <v>0</v>
      </c>
      <c r="AD22" s="392">
        <f>IF(OR('Financial Inputs'!$P$32="Cost-Based",'Financial Inputs'!$P$32="Neither"),0,IF(AND('Financial Inputs'!$P$37="Cash",AD$2&lt;='Financial Inputs'!$P$42),'Financial Inputs'!$P$40*AD$12*'Financial Inputs'!$P$41,0))</f>
        <v>0</v>
      </c>
      <c r="AE22" s="392">
        <f>IF(OR('Financial Inputs'!$P$32="Cost-Based",'Financial Inputs'!$P$32="Neither"),0,IF(AND('Financial Inputs'!$P$37="Cash",AE$2&lt;='Financial Inputs'!$P$42),'Financial Inputs'!$P$40*AE$12*'Financial Inputs'!$P$41,0))</f>
        <v>0</v>
      </c>
      <c r="AF22" s="392">
        <f>IF(OR('Financial Inputs'!$P$32="Cost-Based",'Financial Inputs'!$P$32="Neither"),0,IF(AND('Financial Inputs'!$P$37="Cash",AF$2&lt;='Financial Inputs'!$P$42),'Financial Inputs'!$P$40*AF$12*'Financial Inputs'!$P$41,0))</f>
        <v>0</v>
      </c>
      <c r="AG22" s="392">
        <f>IF(OR('Financial Inputs'!$P$32="Cost-Based",'Financial Inputs'!$P$32="Neither"),0,IF(AND('Financial Inputs'!$P$37="Cash",AG$2&lt;='Financial Inputs'!$P$42),'Financial Inputs'!$P$40*AG$12*'Financial Inputs'!$P$41,0))</f>
        <v>0</v>
      </c>
      <c r="AH22" s="392">
        <f>IF(OR('Financial Inputs'!$P$32="Cost-Based",'Financial Inputs'!$P$32="Neither"),0,IF(AND('Financial Inputs'!$P$37="Cash",AH$2&lt;='Financial Inputs'!$P$42),'Financial Inputs'!$P$40*AH$12*'Financial Inputs'!$P$41,0))</f>
        <v>0</v>
      </c>
      <c r="AI22" s="392">
        <f>IF(OR('Financial Inputs'!$P$32="Cost-Based",'Financial Inputs'!$P$32="Neither"),0,IF(AND('Financial Inputs'!$P$37="Cash",AI$2&lt;='Financial Inputs'!$P$42),'Financial Inputs'!$P$40*AI$12*'Financial Inputs'!$P$41,0))</f>
        <v>0</v>
      </c>
      <c r="AJ22" s="392">
        <f>IF(OR('Financial Inputs'!$P$32="Cost-Based",'Financial Inputs'!$P$32="Neither"),0,IF(AND('Financial Inputs'!$P$37="Cash",AJ$2&lt;='Financial Inputs'!$P$42),'Financial Inputs'!$P$40*AJ$12*'Financial Inputs'!$P$41,0))</f>
        <v>0</v>
      </c>
    </row>
    <row r="23" spans="2:37" s="1" customFormat="1" x14ac:dyDescent="0.2">
      <c r="B23" s="1" t="s">
        <v>80</v>
      </c>
      <c r="E23" s="45" t="s">
        <v>0</v>
      </c>
      <c r="G23" s="19">
        <f>IF('Financial Inputs'!$P$38=0,(G$22*G$4)/100,MIN('Financial Inputs'!$P$38,(G$22*G$4)/100))</f>
        <v>30354.500311248106</v>
      </c>
      <c r="H23" s="19">
        <f>IF('Financial Inputs'!$P$38=0,(H$22*H$4)/100,MIN('Financial Inputs'!$P$38,(H$22*H$4)/100))</f>
        <v>30961.59031747307</v>
      </c>
      <c r="I23" s="19">
        <f>IF('Financial Inputs'!$P$38=0,(I$22*I$4)/100,MIN('Financial Inputs'!$P$38,(I$22*I$4)/100))</f>
        <v>31580.822123822527</v>
      </c>
      <c r="J23" s="19">
        <f>IF('Financial Inputs'!$P$38=0,(J$22*J$4)/100,MIN('Financial Inputs'!$P$38,(J$22*J$4)/100))</f>
        <v>32212.438566298977</v>
      </c>
      <c r="K23" s="19">
        <f>IF('Financial Inputs'!$P$38=0,(K$22*K$4)/100,MIN('Financial Inputs'!$P$38,(K$22*K$4)/100))</f>
        <v>32856.687337624964</v>
      </c>
      <c r="L23" s="19">
        <f>IF('Financial Inputs'!$P$38=0,(L$22*L$4)/100,MIN('Financial Inputs'!$P$38,(L$22*L$4)/100))</f>
        <v>33513.821084377465</v>
      </c>
      <c r="M23" s="19">
        <f>IF('Financial Inputs'!$P$38=0,(M$22*M$4)/100,MIN('Financial Inputs'!$P$38,(M$22*M$4)/100))</f>
        <v>34184.097506065009</v>
      </c>
      <c r="N23" s="19">
        <f>IF('Financial Inputs'!$P$38=0,(N$22*N$4)/100,MIN('Financial Inputs'!$P$38,(N$22*N$4)/100))</f>
        <v>34867.779456186312</v>
      </c>
      <c r="O23" s="19">
        <f>IF('Financial Inputs'!$P$38=0,(O$22*O$4)/100,MIN('Financial Inputs'!$P$38,(O$22*O$4)/100))</f>
        <v>35565.135045310039</v>
      </c>
      <c r="P23" s="19">
        <f>IF('Financial Inputs'!$P$38=0,(P$22*P$4)/100,MIN('Financial Inputs'!$P$38,(P$22*P$4)/100))</f>
        <v>36276.437746216237</v>
      </c>
      <c r="Q23" s="19">
        <f>IF('Financial Inputs'!$P$38=0,(Q$22*Q$4)/100,MIN('Financial Inputs'!$P$38,(Q$22*Q$4)/100))</f>
        <v>37001.96650114056</v>
      </c>
      <c r="R23" s="19">
        <f>IF('Financial Inputs'!$P$38=0,(R$22*R$4)/100,MIN('Financial Inputs'!$P$38,(R$22*R$4)/100))</f>
        <v>37742.005831163377</v>
      </c>
      <c r="S23" s="19">
        <f>IF('Financial Inputs'!$P$38=0,(S$22*S$4)/100,MIN('Financial Inputs'!$P$38,(S$22*S$4)/100))</f>
        <v>38496.845947786642</v>
      </c>
      <c r="T23" s="19">
        <f>IF('Financial Inputs'!$P$38=0,(T$22*T$4)/100,MIN('Financial Inputs'!$P$38,(T$22*T$4)/100))</f>
        <v>39266.782866742375</v>
      </c>
      <c r="U23" s="19">
        <f>IF('Financial Inputs'!$P$38=0,(U$22*U$4)/100,MIN('Financial Inputs'!$P$38,(U$22*U$4)/100))</f>
        <v>40052.118524077225</v>
      </c>
      <c r="V23" s="19">
        <f>IF('Financial Inputs'!$P$38=0,(V$22*V$4)/100,MIN('Financial Inputs'!$P$38,(V$22*V$4)/100))</f>
        <v>40853.160894558772</v>
      </c>
      <c r="W23" s="19">
        <f>IF('Financial Inputs'!$P$38=0,(W$22*W$4)/100,MIN('Financial Inputs'!$P$38,(W$22*W$4)/100))</f>
        <v>41670.224112449949</v>
      </c>
      <c r="X23" s="19">
        <f>IF('Financial Inputs'!$P$38=0,(X$22*X$4)/100,MIN('Financial Inputs'!$P$38,(X$22*X$4)/100))</f>
        <v>42503.628594698952</v>
      </c>
      <c r="Y23" s="19">
        <f>IF('Financial Inputs'!$P$38=0,(Y$22*Y$4)/100,MIN('Financial Inputs'!$P$38,(Y$22*Y$4)/100))</f>
        <v>43353.701166592931</v>
      </c>
      <c r="Z23" s="19">
        <f>IF('Financial Inputs'!$P$38=0,(Z$22*Z$4)/100,MIN('Financial Inputs'!$P$38,(Z$22*Z$4)/100))</f>
        <v>44220.775189924789</v>
      </c>
      <c r="AA23" s="19">
        <f>IF('Financial Inputs'!$P$38=0,(AA$22*AA$4)/100,MIN('Financial Inputs'!$P$38,(AA$22*AA$4)/100))</f>
        <v>0</v>
      </c>
      <c r="AB23" s="19">
        <f>IF('Financial Inputs'!$P$38=0,(AB$22*AB$4)/100,MIN('Financial Inputs'!$P$38,(AB$22*AB$4)/100))</f>
        <v>0</v>
      </c>
      <c r="AC23" s="19">
        <f>IF('Financial Inputs'!$P$38=0,(AC$22*AC$4)/100,MIN('Financial Inputs'!$P$38,(AC$22*AC$4)/100))</f>
        <v>0</v>
      </c>
      <c r="AD23" s="19">
        <f>IF('Financial Inputs'!$P$38=0,(AD$22*AD$4)/100,MIN('Financial Inputs'!$P$38,(AD$22*AD$4)/100))</f>
        <v>0</v>
      </c>
      <c r="AE23" s="19">
        <f>IF('Financial Inputs'!$P$38=0,(AE$22*AE$4)/100,MIN('Financial Inputs'!$P$38,(AE$22*AE$4)/100))</f>
        <v>0</v>
      </c>
      <c r="AF23" s="19">
        <f>IF('Financial Inputs'!$P$38=0,(AF$22*AF$4)/100,MIN('Financial Inputs'!$P$38,(AF$22*AF$4)/100))</f>
        <v>0</v>
      </c>
      <c r="AG23" s="19">
        <f>IF('Financial Inputs'!$P$38=0,(AG$22*AG$4)/100,MIN('Financial Inputs'!$P$38,(AG$22*AG$4)/100))</f>
        <v>0</v>
      </c>
      <c r="AH23" s="19">
        <f>IF('Financial Inputs'!$P$38=0,(AH$22*AH$4)/100,MIN('Financial Inputs'!$P$38,(AH$22*AH$4)/100))</f>
        <v>0</v>
      </c>
      <c r="AI23" s="19">
        <f>IF('Financial Inputs'!$P$38=0,(AI$22*AI$4)/100,MIN('Financial Inputs'!$P$38,(AI$22*AI$4)/100))</f>
        <v>0</v>
      </c>
      <c r="AJ23" s="19">
        <f>IF('Financial Inputs'!$P$38=0,(AJ$22*AJ$4)/100,MIN('Financial Inputs'!$P$38,(AJ$22*AJ$4)/100))</f>
        <v>0</v>
      </c>
    </row>
    <row r="25" spans="2:37" s="1" customFormat="1" ht="15.75" x14ac:dyDescent="0.25">
      <c r="B25" s="17" t="s">
        <v>83</v>
      </c>
      <c r="C25" s="17"/>
      <c r="D25" s="17"/>
      <c r="E25" s="47" t="s">
        <v>0</v>
      </c>
      <c r="F25" s="17"/>
      <c r="G25" s="374">
        <f>SUM(G15:G19,G21,G23)</f>
        <v>804364.78046609461</v>
      </c>
      <c r="H25" s="374">
        <f t="shared" ref="H25:AJ25" si="2">SUM(H15:H19,H21,H23)</f>
        <v>820452.07607541652</v>
      </c>
      <c r="I25" s="374">
        <f t="shared" si="2"/>
        <v>836861.117596925</v>
      </c>
      <c r="J25" s="374">
        <f t="shared" si="2"/>
        <v>853598.33994886337</v>
      </c>
      <c r="K25" s="374">
        <f t="shared" si="2"/>
        <v>870670.3067478406</v>
      </c>
      <c r="L25" s="374">
        <f t="shared" si="2"/>
        <v>888083.71288279758</v>
      </c>
      <c r="M25" s="374">
        <f t="shared" si="2"/>
        <v>905845.38714045356</v>
      </c>
      <c r="N25" s="374">
        <f t="shared" si="2"/>
        <v>923962.29488326248</v>
      </c>
      <c r="O25" s="374">
        <f t="shared" si="2"/>
        <v>942441.54078092787</v>
      </c>
      <c r="P25" s="374">
        <f t="shared" si="2"/>
        <v>961290.37159654638</v>
      </c>
      <c r="Q25" s="374">
        <f t="shared" si="2"/>
        <v>934921.33879010519</v>
      </c>
      <c r="R25" s="374">
        <f t="shared" si="2"/>
        <v>953619.76556590712</v>
      </c>
      <c r="S25" s="374">
        <f t="shared" si="2"/>
        <v>972692.16087722545</v>
      </c>
      <c r="T25" s="374">
        <f t="shared" si="2"/>
        <v>992146.00409476983</v>
      </c>
      <c r="U25" s="374">
        <f t="shared" si="2"/>
        <v>1011988.9241766651</v>
      </c>
      <c r="V25" s="374">
        <f t="shared" si="2"/>
        <v>1032228.7026601987</v>
      </c>
      <c r="W25" s="374">
        <f t="shared" si="2"/>
        <v>1052873.2767134025</v>
      </c>
      <c r="X25" s="374">
        <f t="shared" si="2"/>
        <v>1073930.7422476707</v>
      </c>
      <c r="Y25" s="374">
        <f t="shared" si="2"/>
        <v>1095409.3570926243</v>
      </c>
      <c r="Z25" s="374">
        <f t="shared" si="2"/>
        <v>1117317.5442344765</v>
      </c>
      <c r="AA25" s="374">
        <f t="shared" si="2"/>
        <v>0</v>
      </c>
      <c r="AB25" s="374">
        <f t="shared" si="2"/>
        <v>0</v>
      </c>
      <c r="AC25" s="374">
        <f t="shared" si="2"/>
        <v>0</v>
      </c>
      <c r="AD25" s="374">
        <f t="shared" si="2"/>
        <v>0</v>
      </c>
      <c r="AE25" s="374">
        <f t="shared" si="2"/>
        <v>0</v>
      </c>
      <c r="AF25" s="374">
        <f t="shared" si="2"/>
        <v>0</v>
      </c>
      <c r="AG25" s="374">
        <f t="shared" si="2"/>
        <v>0</v>
      </c>
      <c r="AH25" s="374">
        <f t="shared" si="2"/>
        <v>0</v>
      </c>
      <c r="AI25" s="374">
        <f t="shared" si="2"/>
        <v>0</v>
      </c>
      <c r="AJ25" s="374">
        <f t="shared" si="2"/>
        <v>0</v>
      </c>
    </row>
    <row r="26" spans="2:37" s="1" customFormat="1" x14ac:dyDescent="0.2">
      <c r="E26" s="45"/>
    </row>
    <row r="27" spans="2:37" s="1" customFormat="1" ht="15.75" x14ac:dyDescent="0.25">
      <c r="B27" s="17" t="s">
        <v>49</v>
      </c>
      <c r="C27" s="17"/>
      <c r="D27" s="17"/>
      <c r="E27" s="45"/>
    </row>
    <row r="28" spans="2:37" s="1" customFormat="1" x14ac:dyDescent="0.2">
      <c r="B28" s="1" t="s">
        <v>81</v>
      </c>
      <c r="E28" s="45"/>
      <c r="F28" s="13"/>
      <c r="G28" s="207">
        <v>1</v>
      </c>
      <c r="H28" s="48">
        <f>G28*(1+'Financial Inputs'!$G$55)</f>
        <v>1.02</v>
      </c>
      <c r="I28" s="48">
        <f>H28*(1+'Financial Inputs'!$G$55)</f>
        <v>1.0404</v>
      </c>
      <c r="J28" s="48">
        <f>I28*(1+'Financial Inputs'!$G$55)</f>
        <v>1.0612079999999999</v>
      </c>
      <c r="K28" s="48">
        <f>J28*(1+'Financial Inputs'!$G$55)</f>
        <v>1.08243216</v>
      </c>
      <c r="L28" s="48">
        <f>K28*(1+'Financial Inputs'!$G$55)</f>
        <v>1.1040808032</v>
      </c>
      <c r="M28" s="48">
        <f>L28*(1+'Financial Inputs'!$G$55)</f>
        <v>1.1261624192640001</v>
      </c>
      <c r="N28" s="48">
        <f>M28*(1+'Financial Inputs'!$G$55)</f>
        <v>1.14868566764928</v>
      </c>
      <c r="O28" s="48">
        <f>N28*(1+'Financial Inputs'!$G$55)</f>
        <v>1.1716593810022657</v>
      </c>
      <c r="P28" s="48">
        <f>O28*(1+'Financial Inputs'!$G$55)</f>
        <v>1.1950925686223111</v>
      </c>
      <c r="Q28" s="48">
        <f>P28*(1+'Financial Inputs'!$G$55)</f>
        <v>1.2189944199947573</v>
      </c>
      <c r="R28" s="48">
        <f>Q28*(1+'Financial Inputs'!$G$55)</f>
        <v>1.2433743083946525</v>
      </c>
      <c r="S28" s="48">
        <f>R28*(1+'Financial Inputs'!$G$55)</f>
        <v>1.2682417945625455</v>
      </c>
      <c r="T28" s="48">
        <f>S28*(1+'Financial Inputs'!$G$55)</f>
        <v>1.2936066304537963</v>
      </c>
      <c r="U28" s="48">
        <f>T28*(1+'Financial Inputs'!$G$55)</f>
        <v>1.3194787630628724</v>
      </c>
      <c r="V28" s="48">
        <f>U28*(1+'Financial Inputs'!$G$55)</f>
        <v>1.3458683383241299</v>
      </c>
      <c r="W28" s="48">
        <f>V28*(1+'Financial Inputs'!$G$55)</f>
        <v>1.3727857050906125</v>
      </c>
      <c r="X28" s="48">
        <f>W28*(1+'Financial Inputs'!$G$55)</f>
        <v>1.4002414191924248</v>
      </c>
      <c r="Y28" s="48">
        <f>X28*(1+'Financial Inputs'!$G$55)</f>
        <v>1.4282462475762734</v>
      </c>
      <c r="Z28" s="48">
        <f>Y28*(1+'Financial Inputs'!$G$55)</f>
        <v>1.4568111725277988</v>
      </c>
      <c r="AA28" s="48">
        <f>Z28*(1+'Financial Inputs'!$G$55)</f>
        <v>1.4859473959783549</v>
      </c>
      <c r="AB28" s="48">
        <f>AA28*(1+'Financial Inputs'!$G$55)</f>
        <v>1.5156663438979221</v>
      </c>
      <c r="AC28" s="48">
        <f>AB28*(1+'Financial Inputs'!$G$55)</f>
        <v>1.5459796707758806</v>
      </c>
      <c r="AD28" s="48">
        <f>AC28*(1+'Financial Inputs'!$G$55)</f>
        <v>1.5768992641913981</v>
      </c>
      <c r="AE28" s="48">
        <f>AD28*(1+'Financial Inputs'!$G$55)</f>
        <v>1.6084372494752261</v>
      </c>
      <c r="AF28" s="48">
        <f>AE28*(1+'Financial Inputs'!$G$55)</f>
        <v>1.6406059944647307</v>
      </c>
      <c r="AG28" s="48">
        <f>AF28*(1+'Financial Inputs'!$G$55)</f>
        <v>1.6734181143540252</v>
      </c>
      <c r="AH28" s="48">
        <f>AG28*(1+'Financial Inputs'!$G$55)</f>
        <v>1.7068864766411058</v>
      </c>
      <c r="AI28" s="48">
        <f>AH28*(1+'Financial Inputs'!$G$55)</f>
        <v>1.7410242061739281</v>
      </c>
      <c r="AJ28" s="48">
        <f>AI28*(1+'Financial Inputs'!$G$55)</f>
        <v>1.7758446902974065</v>
      </c>
    </row>
    <row r="29" spans="2:37" s="1" customFormat="1" ht="15.75" x14ac:dyDescent="0.25">
      <c r="E29" s="45"/>
      <c r="F29" s="13"/>
      <c r="G29" s="52"/>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row>
    <row r="30" spans="2:37" s="1" customFormat="1" x14ac:dyDescent="0.2">
      <c r="B30" s="1" t="s">
        <v>717</v>
      </c>
      <c r="E30" s="45" t="s">
        <v>0</v>
      </c>
      <c r="F30" s="13"/>
      <c r="G30" s="21">
        <f>-IF(G$2&gt;'Financial Inputs'!$G$24,0,'Financial Inputs'!$P$160*G$28)</f>
        <v>-50185.368410481227</v>
      </c>
      <c r="H30" s="21">
        <f>-IF(H$2&gt;'Financial Inputs'!$G$24,0,'Financial Inputs'!$P$160*H$28)</f>
        <v>-51189.075778690851</v>
      </c>
      <c r="I30" s="21">
        <f>-IF(I$2&gt;'Financial Inputs'!$G$24,0,'Financial Inputs'!$P$160*I$28)</f>
        <v>-52212.857294264672</v>
      </c>
      <c r="J30" s="21">
        <f>-IF(J$2&gt;'Financial Inputs'!$G$24,0,'Financial Inputs'!$P$160*J$28)</f>
        <v>-53257.114440149962</v>
      </c>
      <c r="K30" s="21">
        <f>-IF(K$2&gt;'Financial Inputs'!$G$24,0,'Financial Inputs'!$P$160*K$28)</f>
        <v>-54322.256728952962</v>
      </c>
      <c r="L30" s="21">
        <f>-IF(L$2&gt;'Financial Inputs'!$G$24,0,'Financial Inputs'!$P$160*L$28)</f>
        <v>-55408.70186353202</v>
      </c>
      <c r="M30" s="21">
        <f>-IF(M$2&gt;'Financial Inputs'!$G$24,0,'Financial Inputs'!$P$160*M$28)</f>
        <v>-56516.875900802668</v>
      </c>
      <c r="N30" s="21">
        <f>-IF(N$2&gt;'Financial Inputs'!$G$24,0,'Financial Inputs'!$P$160*N$28)</f>
        <v>-57647.213418818719</v>
      </c>
      <c r="O30" s="21">
        <f>-IF(O$2&gt;'Financial Inputs'!$G$24,0,'Financial Inputs'!$P$160*O$28)</f>
        <v>-58800.157687195097</v>
      </c>
      <c r="P30" s="21">
        <f>-IF(P$2&gt;'Financial Inputs'!$G$24,0,'Financial Inputs'!$P$160*P$28)</f>
        <v>-59976.160840938996</v>
      </c>
      <c r="Q30" s="21">
        <f>-IF(Q$2&gt;'Financial Inputs'!$G$24,0,'Financial Inputs'!$P$160*Q$28)</f>
        <v>-61175.684057757782</v>
      </c>
      <c r="R30" s="21">
        <f>-IF(R$2&gt;'Financial Inputs'!$G$24,0,'Financial Inputs'!$P$160*R$28)</f>
        <v>-62399.197738912932</v>
      </c>
      <c r="S30" s="21">
        <f>-IF(S$2&gt;'Financial Inputs'!$G$24,0,'Financial Inputs'!$P$160*S$28)</f>
        <v>-63647.181693691193</v>
      </c>
      <c r="T30" s="21">
        <f>-IF(T$2&gt;'Financial Inputs'!$G$24,0,'Financial Inputs'!$P$160*T$28)</f>
        <v>-64920.125327565009</v>
      </c>
      <c r="U30" s="21">
        <f>-IF(U$2&gt;'Financial Inputs'!$G$24,0,'Financial Inputs'!$P$160*U$28)</f>
        <v>-66218.527834116321</v>
      </c>
      <c r="V30" s="21">
        <f>-IF(V$2&gt;'Financial Inputs'!$G$24,0,'Financial Inputs'!$P$160*V$28)</f>
        <v>-67542.898390798655</v>
      </c>
      <c r="W30" s="21">
        <f>-IF(W$2&gt;'Financial Inputs'!$G$24,0,'Financial Inputs'!$P$160*W$28)</f>
        <v>-68893.756358614628</v>
      </c>
      <c r="X30" s="21">
        <f>-IF(X$2&gt;'Financial Inputs'!$G$24,0,'Financial Inputs'!$P$160*X$28)</f>
        <v>-70271.631485786915</v>
      </c>
      <c r="Y30" s="21">
        <f>-IF(Y$2&gt;'Financial Inputs'!$G$24,0,'Financial Inputs'!$P$160*Y$28)</f>
        <v>-71677.064115502668</v>
      </c>
      <c r="Z30" s="21">
        <f>-IF(Z$2&gt;'Financial Inputs'!$G$24,0,'Financial Inputs'!$P$160*Z$28)</f>
        <v>-73110.605397812717</v>
      </c>
      <c r="AA30" s="21">
        <f>-IF(AA$2&gt;'Financial Inputs'!$G$24,0,'Financial Inputs'!$P$160*AA$28)</f>
        <v>0</v>
      </c>
      <c r="AB30" s="21">
        <f>-IF(AB$2&gt;'Financial Inputs'!$G$24,0,'Financial Inputs'!$P$160*AB$28)</f>
        <v>0</v>
      </c>
      <c r="AC30" s="21">
        <f>-IF(AC$2&gt;'Financial Inputs'!$G$24,0,'Financial Inputs'!$P$160*AC$28)</f>
        <v>0</v>
      </c>
      <c r="AD30" s="21">
        <f>-IF(AD$2&gt;'Financial Inputs'!$G$24,0,'Financial Inputs'!$P$160*AD$28)</f>
        <v>0</v>
      </c>
      <c r="AE30" s="21">
        <f>-IF(AE$2&gt;'Financial Inputs'!$G$24,0,'Financial Inputs'!$P$160*AE$28)</f>
        <v>0</v>
      </c>
      <c r="AF30" s="21">
        <f>-IF(AF$2&gt;'Financial Inputs'!$G$24,0,'Financial Inputs'!$P$160*AF$28)</f>
        <v>0</v>
      </c>
      <c r="AG30" s="21">
        <f>-IF(AG$2&gt;'Financial Inputs'!$G$24,0,'Financial Inputs'!$P$160*AG$28)</f>
        <v>0</v>
      </c>
      <c r="AH30" s="21">
        <f>-IF(AH$2&gt;'Financial Inputs'!$G$24,0,'Financial Inputs'!$P$160*AH$28)</f>
        <v>0</v>
      </c>
      <c r="AI30" s="21">
        <f>-IF(AI$2&gt;'Financial Inputs'!$G$24,0,'Financial Inputs'!$P$160*AI$28)</f>
        <v>0</v>
      </c>
      <c r="AJ30" s="21">
        <f>-IF(AJ$2&gt;'Financial Inputs'!$G$24,0,'Financial Inputs'!$P$160*AJ$28)</f>
        <v>0</v>
      </c>
    </row>
    <row r="31" spans="2:37" s="1" customFormat="1" x14ac:dyDescent="0.2">
      <c r="B31" s="1" t="s">
        <v>528</v>
      </c>
      <c r="E31" s="45" t="s">
        <v>0</v>
      </c>
      <c r="G31" s="21">
        <f>IF('Financial Inputs'!$X$118=2,-G117,0)</f>
        <v>-198461.58333333334</v>
      </c>
      <c r="H31" s="21">
        <f>IF('Financial Inputs'!$X$118=2,-H117,0)</f>
        <v>-160644.81500000003</v>
      </c>
      <c r="I31" s="21">
        <f>IF('Financial Inputs'!$X$118=2,-I117,0)</f>
        <v>-214767.95129999999</v>
      </c>
      <c r="J31" s="21">
        <f>IF('Financial Inputs'!$X$118=2,-J117,0)</f>
        <v>-219063.31032599998</v>
      </c>
      <c r="K31" s="21">
        <f>IF('Financial Inputs'!$X$118=2,-K117,0)</f>
        <v>-223444.57653252</v>
      </c>
      <c r="L31" s="21">
        <f>IF('Financial Inputs'!$X$118=2,-L117,0)</f>
        <v>-227913.46806317041</v>
      </c>
      <c r="M31" s="21">
        <f>IF('Financial Inputs'!$X$118=2,-M117,0)</f>
        <v>-232471.73742443381</v>
      </c>
      <c r="N31" s="21">
        <f>IF('Financial Inputs'!$X$118=2,-N117,0)</f>
        <v>-237121.1721729225</v>
      </c>
      <c r="O31" s="21">
        <f>IF('Financial Inputs'!$X$118=2,-O117,0)</f>
        <v>-241863.59561638098</v>
      </c>
      <c r="P31" s="21">
        <f>IF('Financial Inputs'!$X$118=2,-P117,0)</f>
        <v>-246700.86752870859</v>
      </c>
      <c r="Q31" s="21">
        <f>IF('Financial Inputs'!$X$118=2,-Q117,0)</f>
        <v>-241923.56266665788</v>
      </c>
      <c r="R31" s="21">
        <f>IF('Financial Inputs'!$X$118=2,-R117,0)</f>
        <v>-195825.13308609012</v>
      </c>
      <c r="S31" s="21">
        <f>IF('Financial Inputs'!$X$118=2,-S117,0)</f>
        <v>-261800.93422840579</v>
      </c>
      <c r="T31" s="21">
        <f>IF('Financial Inputs'!$X$118=2,-T117,0)</f>
        <v>-267036.95291297388</v>
      </c>
      <c r="U31" s="21">
        <f>IF('Financial Inputs'!$X$118=2,-U117,0)</f>
        <v>-272377.69197123341</v>
      </c>
      <c r="V31" s="21">
        <f>IF('Financial Inputs'!$X$118=2,-V117,0)</f>
        <v>-277825.24581065809</v>
      </c>
      <c r="W31" s="21">
        <f>IF('Financial Inputs'!$X$118=2,-W117,0)</f>
        <v>-283381.75072687125</v>
      </c>
      <c r="X31" s="21">
        <f>IF('Financial Inputs'!$X$118=2,-X117,0)</f>
        <v>-289049.38574140868</v>
      </c>
      <c r="Y31" s="21">
        <f>IF('Financial Inputs'!$X$118=2,-Y117,0)</f>
        <v>-294830.37345623685</v>
      </c>
      <c r="Z31" s="21">
        <f>IF('Financial Inputs'!$X$118=2,-Z117,0)</f>
        <v>-300726.98092536157</v>
      </c>
      <c r="AA31" s="21">
        <f>IF('Financial Inputs'!$X$118=2,-AA117,0)</f>
        <v>0</v>
      </c>
      <c r="AB31" s="21">
        <f>IF('Financial Inputs'!$X$118=2,-AB117,0)</f>
        <v>0</v>
      </c>
      <c r="AC31" s="21">
        <f>IF('Financial Inputs'!$X$118=2,-AC117,0)</f>
        <v>0</v>
      </c>
      <c r="AD31" s="21">
        <f>IF('Financial Inputs'!$X$118=2,-AD117,0)</f>
        <v>0</v>
      </c>
      <c r="AE31" s="21">
        <f>IF('Financial Inputs'!$X$118=2,-AE117,0)</f>
        <v>0</v>
      </c>
      <c r="AF31" s="21">
        <f>IF('Financial Inputs'!$X$118=2,-AF117,0)</f>
        <v>0</v>
      </c>
      <c r="AG31" s="21">
        <f>IF('Financial Inputs'!$X$118=2,-AG117,0)</f>
        <v>0</v>
      </c>
      <c r="AH31" s="21">
        <f>IF('Financial Inputs'!$X$118=2,-AH117,0)</f>
        <v>0</v>
      </c>
      <c r="AI31" s="21">
        <f>IF('Financial Inputs'!$X$118=2,-AI117,0)</f>
        <v>0</v>
      </c>
      <c r="AJ31" s="21">
        <f>IF('Financial Inputs'!$X$118=2,-AJ117,0)</f>
        <v>0</v>
      </c>
    </row>
    <row r="32" spans="2:37" s="1" customFormat="1" x14ac:dyDescent="0.2">
      <c r="B32" s="1" t="s">
        <v>776</v>
      </c>
      <c r="E32" s="45" t="s">
        <v>0</v>
      </c>
      <c r="G32" s="21">
        <f>IF(G$2&gt;'Financial Inputs'!$G$24,0,'Nutrient Calculations'!$AT$67*G$28)</f>
        <v>-62393.679451753502</v>
      </c>
      <c r="H32" s="21">
        <f>IF(H$2&gt;'Financial Inputs'!$G$24,0,'Nutrient Calculations'!$AT$67*H$28)</f>
        <v>-63641.553040788574</v>
      </c>
      <c r="I32" s="21">
        <f>IF(I$2&gt;'Financial Inputs'!$G$24,0,'Nutrient Calculations'!$AT$67*I$28)</f>
        <v>-64914.384101604344</v>
      </c>
      <c r="J32" s="21">
        <f>IF(J$2&gt;'Financial Inputs'!$G$24,0,'Nutrient Calculations'!$AT$67*J$28)</f>
        <v>-66212.671783636426</v>
      </c>
      <c r="K32" s="21">
        <f>IF(K$2&gt;'Financial Inputs'!$G$24,0,'Nutrient Calculations'!$AT$67*K$28)</f>
        <v>-67536.925219309152</v>
      </c>
      <c r="L32" s="21">
        <f>IF(L$2&gt;'Financial Inputs'!$G$24,0,'Nutrient Calculations'!$AT$67*L$28)</f>
        <v>-68887.663723695339</v>
      </c>
      <c r="M32" s="21">
        <f>IF(M$2&gt;'Financial Inputs'!$G$24,0,'Nutrient Calculations'!$AT$67*M$28)</f>
        <v>-70265.416998169254</v>
      </c>
      <c r="N32" s="21">
        <f>IF(N$2&gt;'Financial Inputs'!$G$24,0,'Nutrient Calculations'!$AT$67*N$28)</f>
        <v>-71670.72533813263</v>
      </c>
      <c r="O32" s="21">
        <f>IF(O$2&gt;'Financial Inputs'!$G$24,0,'Nutrient Calculations'!$AT$67*O$28)</f>
        <v>-73104.139844895297</v>
      </c>
      <c r="P32" s="21">
        <f>IF(P$2&gt;'Financial Inputs'!$G$24,0,'Nutrient Calculations'!$AT$67*P$28)</f>
        <v>-74566.222641793196</v>
      </c>
      <c r="Q32" s="21">
        <f>IF(Q$2&gt;'Financial Inputs'!$G$24,0,'Nutrient Calculations'!$AT$67*Q$28)</f>
        <v>-76057.547094629073</v>
      </c>
      <c r="R32" s="21">
        <f>IF(R$2&gt;'Financial Inputs'!$G$24,0,'Nutrient Calculations'!$AT$67*R$28)</f>
        <v>-77578.698036521644</v>
      </c>
      <c r="S32" s="21">
        <f>IF(S$2&gt;'Financial Inputs'!$G$24,0,'Nutrient Calculations'!$AT$67*S$28)</f>
        <v>-79130.271997252086</v>
      </c>
      <c r="T32" s="21">
        <f>IF(T$2&gt;'Financial Inputs'!$G$24,0,'Nutrient Calculations'!$AT$67*T$28)</f>
        <v>-80712.877437197123</v>
      </c>
      <c r="U32" s="21">
        <f>IF(U$2&gt;'Financial Inputs'!$G$24,0,'Nutrient Calculations'!$AT$67*U$28)</f>
        <v>-82327.134985941069</v>
      </c>
      <c r="V32" s="21">
        <f>IF(V$2&gt;'Financial Inputs'!$G$24,0,'Nutrient Calculations'!$AT$67*V$28)</f>
        <v>-83973.677685659888</v>
      </c>
      <c r="W32" s="21">
        <f>IF(W$2&gt;'Financial Inputs'!$G$24,0,'Nutrient Calculations'!$AT$67*W$28)</f>
        <v>-85653.151239373095</v>
      </c>
      <c r="X32" s="21">
        <f>IF(X$2&gt;'Financial Inputs'!$G$24,0,'Nutrient Calculations'!$AT$67*X$28)</f>
        <v>-87366.214264160561</v>
      </c>
      <c r="Y32" s="21">
        <f>IF(Y$2&gt;'Financial Inputs'!$G$24,0,'Nutrient Calculations'!$AT$67*Y$28)</f>
        <v>-89113.53854944378</v>
      </c>
      <c r="Z32" s="21">
        <f>IF(Z$2&gt;'Financial Inputs'!$G$24,0,'Nutrient Calculations'!$AT$67*Z$28)</f>
        <v>-90895.809320432643</v>
      </c>
      <c r="AA32" s="21">
        <f>IF(AA$2&gt;'Financial Inputs'!$G$24,0,'Nutrient Calculations'!$AT$67*AA$28)</f>
        <v>0</v>
      </c>
      <c r="AB32" s="21">
        <f>IF(AB$2&gt;'Financial Inputs'!$G$24,0,'Nutrient Calculations'!$AT$67*AB$28)</f>
        <v>0</v>
      </c>
      <c r="AC32" s="21">
        <f>IF(AC$2&gt;'Financial Inputs'!$G$24,0,'Nutrient Calculations'!$AT$67*AC$28)</f>
        <v>0</v>
      </c>
      <c r="AD32" s="21">
        <f>IF(AD$2&gt;'Financial Inputs'!$G$24,0,'Nutrient Calculations'!$AT$67*AD$28)</f>
        <v>0</v>
      </c>
      <c r="AE32" s="21">
        <f>IF(AE$2&gt;'Financial Inputs'!$G$24,0,'Nutrient Calculations'!$AT$67*AE$28)</f>
        <v>0</v>
      </c>
      <c r="AF32" s="21">
        <f>IF(AF$2&gt;'Financial Inputs'!$G$24,0,'Nutrient Calculations'!$AT$67*AF$28)</f>
        <v>0</v>
      </c>
      <c r="AG32" s="21">
        <f>IF(AG$2&gt;'Financial Inputs'!$G$24,0,'Nutrient Calculations'!$AT$67*AG$28)</f>
        <v>0</v>
      </c>
      <c r="AH32" s="21">
        <f>IF(AH$2&gt;'Financial Inputs'!$G$24,0,'Nutrient Calculations'!$AT$67*AH$28)</f>
        <v>0</v>
      </c>
      <c r="AI32" s="21">
        <f>IF(AI$2&gt;'Financial Inputs'!$G$24,0,'Nutrient Calculations'!$AT$67*AI$28)</f>
        <v>0</v>
      </c>
      <c r="AJ32" s="21">
        <f>IF(AJ$2&gt;'Financial Inputs'!$G$24,0,'Nutrient Calculations'!$AT$67*AJ$28)</f>
        <v>0</v>
      </c>
    </row>
    <row r="33" spans="2:36" s="1" customFormat="1" ht="15.75" x14ac:dyDescent="0.25">
      <c r="B33" s="17" t="s">
        <v>84</v>
      </c>
      <c r="C33" s="17"/>
      <c r="D33" s="17"/>
      <c r="E33" s="47" t="s">
        <v>0</v>
      </c>
      <c r="F33" s="17"/>
      <c r="G33" s="23">
        <f>SUM(G30:G32)</f>
        <v>-311040.63119556807</v>
      </c>
      <c r="H33" s="23">
        <f t="shared" ref="H33:AJ33" si="3">SUM(H30:H32)</f>
        <v>-275475.44381947943</v>
      </c>
      <c r="I33" s="23">
        <f t="shared" si="3"/>
        <v>-331895.19269586902</v>
      </c>
      <c r="J33" s="23">
        <f t="shared" si="3"/>
        <v>-338533.09654978639</v>
      </c>
      <c r="K33" s="23">
        <f t="shared" si="3"/>
        <v>-345303.75848078215</v>
      </c>
      <c r="L33" s="23">
        <f t="shared" si="3"/>
        <v>-352209.83365039778</v>
      </c>
      <c r="M33" s="23">
        <f t="shared" si="3"/>
        <v>-359254.03032340575</v>
      </c>
      <c r="N33" s="23">
        <f t="shared" si="3"/>
        <v>-366439.11092987383</v>
      </c>
      <c r="O33" s="23">
        <f t="shared" si="3"/>
        <v>-373767.89314847137</v>
      </c>
      <c r="P33" s="23">
        <f t="shared" si="3"/>
        <v>-381243.25101144076</v>
      </c>
      <c r="Q33" s="23">
        <f t="shared" si="3"/>
        <v>-379156.79381904477</v>
      </c>
      <c r="R33" s="23">
        <f t="shared" si="3"/>
        <v>-335803.02886152465</v>
      </c>
      <c r="S33" s="23">
        <f t="shared" si="3"/>
        <v>-404578.38791934907</v>
      </c>
      <c r="T33" s="23">
        <f t="shared" si="3"/>
        <v>-412669.95567773603</v>
      </c>
      <c r="U33" s="23">
        <f t="shared" si="3"/>
        <v>-420923.35479129077</v>
      </c>
      <c r="V33" s="23">
        <f t="shared" si="3"/>
        <v>-429341.82188711665</v>
      </c>
      <c r="W33" s="23">
        <f t="shared" si="3"/>
        <v>-437928.65832485893</v>
      </c>
      <c r="X33" s="23">
        <f t="shared" si="3"/>
        <v>-446687.23149135616</v>
      </c>
      <c r="Y33" s="23">
        <f t="shared" si="3"/>
        <v>-455620.97612118331</v>
      </c>
      <c r="Z33" s="23">
        <f t="shared" si="3"/>
        <v>-464733.39564360696</v>
      </c>
      <c r="AA33" s="23">
        <f t="shared" si="3"/>
        <v>0</v>
      </c>
      <c r="AB33" s="23">
        <f t="shared" si="3"/>
        <v>0</v>
      </c>
      <c r="AC33" s="23">
        <f t="shared" si="3"/>
        <v>0</v>
      </c>
      <c r="AD33" s="23">
        <f t="shared" si="3"/>
        <v>0</v>
      </c>
      <c r="AE33" s="23">
        <f t="shared" si="3"/>
        <v>0</v>
      </c>
      <c r="AF33" s="23">
        <f t="shared" si="3"/>
        <v>0</v>
      </c>
      <c r="AG33" s="23">
        <f t="shared" si="3"/>
        <v>0</v>
      </c>
      <c r="AH33" s="23">
        <f t="shared" si="3"/>
        <v>0</v>
      </c>
      <c r="AI33" s="23">
        <f t="shared" si="3"/>
        <v>0</v>
      </c>
      <c r="AJ33" s="23">
        <f t="shared" si="3"/>
        <v>0</v>
      </c>
    </row>
    <row r="34" spans="2:36" s="1" customFormat="1" ht="15.75" x14ac:dyDescent="0.25">
      <c r="B34" s="17"/>
      <c r="C34" s="17"/>
      <c r="D34" s="17"/>
      <c r="E34" s="47"/>
      <c r="F34" s="17"/>
      <c r="G34" s="23">
        <f>IF(G33=0,"",G33)</f>
        <v>-311040.63119556807</v>
      </c>
      <c r="H34" s="23">
        <f t="shared" ref="H34:AJ34" si="4">IF(H33=0,"",H33)</f>
        <v>-275475.44381947943</v>
      </c>
      <c r="I34" s="23">
        <f t="shared" si="4"/>
        <v>-331895.19269586902</v>
      </c>
      <c r="J34" s="23">
        <f t="shared" si="4"/>
        <v>-338533.09654978639</v>
      </c>
      <c r="K34" s="23">
        <f t="shared" si="4"/>
        <v>-345303.75848078215</v>
      </c>
      <c r="L34" s="23">
        <f t="shared" si="4"/>
        <v>-352209.83365039778</v>
      </c>
      <c r="M34" s="23">
        <f t="shared" si="4"/>
        <v>-359254.03032340575</v>
      </c>
      <c r="N34" s="23">
        <f t="shared" si="4"/>
        <v>-366439.11092987383</v>
      </c>
      <c r="O34" s="23">
        <f t="shared" si="4"/>
        <v>-373767.89314847137</v>
      </c>
      <c r="P34" s="23">
        <f t="shared" si="4"/>
        <v>-381243.25101144076</v>
      </c>
      <c r="Q34" s="23">
        <f t="shared" si="4"/>
        <v>-379156.79381904477</v>
      </c>
      <c r="R34" s="23">
        <f t="shared" si="4"/>
        <v>-335803.02886152465</v>
      </c>
      <c r="S34" s="23">
        <f t="shared" si="4"/>
        <v>-404578.38791934907</v>
      </c>
      <c r="T34" s="23">
        <f t="shared" si="4"/>
        <v>-412669.95567773603</v>
      </c>
      <c r="U34" s="23">
        <f t="shared" si="4"/>
        <v>-420923.35479129077</v>
      </c>
      <c r="V34" s="23">
        <f t="shared" si="4"/>
        <v>-429341.82188711665</v>
      </c>
      <c r="W34" s="23">
        <f t="shared" si="4"/>
        <v>-437928.65832485893</v>
      </c>
      <c r="X34" s="23">
        <f t="shared" si="4"/>
        <v>-446687.23149135616</v>
      </c>
      <c r="Y34" s="23">
        <f t="shared" si="4"/>
        <v>-455620.97612118331</v>
      </c>
      <c r="Z34" s="23">
        <f t="shared" si="4"/>
        <v>-464733.39564360696</v>
      </c>
      <c r="AA34" s="23" t="str">
        <f t="shared" si="4"/>
        <v/>
      </c>
      <c r="AB34" s="23" t="str">
        <f t="shared" si="4"/>
        <v/>
      </c>
      <c r="AC34" s="23" t="str">
        <f t="shared" si="4"/>
        <v/>
      </c>
      <c r="AD34" s="23" t="str">
        <f t="shared" si="4"/>
        <v/>
      </c>
      <c r="AE34" s="23" t="str">
        <f t="shared" si="4"/>
        <v/>
      </c>
      <c r="AF34" s="23" t="str">
        <f t="shared" si="4"/>
        <v/>
      </c>
      <c r="AG34" s="23" t="str">
        <f t="shared" si="4"/>
        <v/>
      </c>
      <c r="AH34" s="23" t="str">
        <f t="shared" si="4"/>
        <v/>
      </c>
      <c r="AI34" s="23" t="str">
        <f t="shared" si="4"/>
        <v/>
      </c>
      <c r="AJ34" s="23" t="str">
        <f t="shared" si="4"/>
        <v/>
      </c>
    </row>
    <row r="35" spans="2:36" s="1" customFormat="1" x14ac:dyDescent="0.2">
      <c r="B35" s="24" t="s">
        <v>84</v>
      </c>
      <c r="C35" s="24"/>
      <c r="D35" s="24"/>
      <c r="E35" s="45" t="s">
        <v>38</v>
      </c>
      <c r="F35" s="24"/>
      <c r="G35" s="25">
        <f>IF(G$2&gt;'Financial Inputs'!$G$24,0,G33*100/G4)</f>
        <v>-10.810517799554303</v>
      </c>
      <c r="H35" s="25">
        <f>IF(H$2&gt;'Financial Inputs'!$G$24,0,H33*100/H4)</f>
        <v>-9.5744153337901174</v>
      </c>
      <c r="I35" s="25">
        <f>IF(I$2&gt;'Financial Inputs'!$G$24,0,I33*100/I4)</f>
        <v>-11.53533824321895</v>
      </c>
      <c r="J35" s="25">
        <f>IF(J$2&gt;'Financial Inputs'!$G$24,0,J33*100/J4)</f>
        <v>-11.76604500808333</v>
      </c>
      <c r="K35" s="25">
        <f>IF(K$2&gt;'Financial Inputs'!$G$24,0,K33*100/K4)</f>
        <v>-12.001365908244995</v>
      </c>
      <c r="L35" s="25">
        <f>IF(L$2&gt;'Financial Inputs'!$G$24,0,L33*100/L4)</f>
        <v>-12.241393226409897</v>
      </c>
      <c r="M35" s="25">
        <f>IF(M$2&gt;'Financial Inputs'!$G$24,0,M33*100/M4)</f>
        <v>-12.486221090938093</v>
      </c>
      <c r="N35" s="25">
        <f>IF(N$2&gt;'Financial Inputs'!$G$24,0,N33*100/N4)</f>
        <v>-12.735945512756855</v>
      </c>
      <c r="O35" s="25">
        <f>IF(O$2&gt;'Financial Inputs'!$G$24,0,O33*100/O4)</f>
        <v>-12.990664423011992</v>
      </c>
      <c r="P35" s="25">
        <f>IF(P$2&gt;'Financial Inputs'!$G$24,0,P33*100/P4)</f>
        <v>-13.250477711472232</v>
      </c>
      <c r="Q35" s="25">
        <f>IF(Q$2&gt;'Financial Inputs'!$G$24,0,Q33*100/Q4)</f>
        <v>-13.177960874910699</v>
      </c>
      <c r="R35" s="25">
        <f>IF(R$2&gt;'Financial Inputs'!$G$24,0,R33*100/R4)</f>
        <v>-11.671158866602395</v>
      </c>
      <c r="S35" s="25">
        <f>IF(S$2&gt;'Financial Inputs'!$G$24,0,S33*100/S4)</f>
        <v>-14.061512951236027</v>
      </c>
      <c r="T35" s="25">
        <f>IF(T$2&gt;'Financial Inputs'!$G$24,0,T33*100/T4)</f>
        <v>-14.342743210260746</v>
      </c>
      <c r="U35" s="25">
        <f>IF(U$2&gt;'Financial Inputs'!$G$24,0,U33*100/U4)</f>
        <v>-14.629598074465962</v>
      </c>
      <c r="V35" s="25">
        <f>IF(V$2&gt;'Financial Inputs'!$G$24,0,V33*100/V4)</f>
        <v>-14.922190035955284</v>
      </c>
      <c r="W35" s="25">
        <f>IF(W$2&gt;'Financial Inputs'!$G$24,0,W33*100/W4)</f>
        <v>-15.220633836674386</v>
      </c>
      <c r="X35" s="25">
        <f>IF(X$2&gt;'Financial Inputs'!$G$24,0,X33*100/X4)</f>
        <v>-15.525046513407878</v>
      </c>
      <c r="Y35" s="25">
        <f>IF(Y$2&gt;'Financial Inputs'!$G$24,0,Y33*100/Y4)</f>
        <v>-15.835547443676036</v>
      </c>
      <c r="Z35" s="25">
        <f>IF(Z$2&gt;'Financial Inputs'!$G$24,0,Z33*100/Z4)</f>
        <v>-16.152258392549555</v>
      </c>
      <c r="AA35" s="25">
        <f>IF(AA$2&gt;'Financial Inputs'!$G$24,0,AA33*100/AA4)</f>
        <v>0</v>
      </c>
      <c r="AB35" s="25">
        <f>IF(AB$2&gt;'Financial Inputs'!$G$24,0,AB33*100/AB4)</f>
        <v>0</v>
      </c>
      <c r="AC35" s="25">
        <f>IF(AC$2&gt;'Financial Inputs'!$G$24,0,AC33*100/AC4)</f>
        <v>0</v>
      </c>
      <c r="AD35" s="25">
        <f>IF(AD$2&gt;'Financial Inputs'!$G$24,0,AD33*100/AD4)</f>
        <v>0</v>
      </c>
      <c r="AE35" s="25">
        <f>IF(AE$2&gt;'Financial Inputs'!$G$24,0,AE33*100/AE4)</f>
        <v>0</v>
      </c>
      <c r="AF35" s="25">
        <f>IF(AF$2&gt;'Financial Inputs'!$G$24,0,AF33*100/AF4)</f>
        <v>0</v>
      </c>
      <c r="AG35" s="25">
        <f>IF(AG$2&gt;'Financial Inputs'!$G$24,0,AG33*100/AG4)</f>
        <v>0</v>
      </c>
      <c r="AH35" s="25">
        <f>IF(AH$2&gt;'Financial Inputs'!$G$24,0,AH33*100/AH4)</f>
        <v>0</v>
      </c>
      <c r="AI35" s="25">
        <f>IF(AI$2&gt;'Financial Inputs'!$G$24,0,AI33*100/AI4)</f>
        <v>0</v>
      </c>
      <c r="AJ35" s="25">
        <f>IF(AJ$2&gt;'Financial Inputs'!$G$24,0,AJ33*100/AJ4)</f>
        <v>0</v>
      </c>
    </row>
    <row r="36" spans="2:36" s="1" customFormat="1" x14ac:dyDescent="0.2">
      <c r="E36" s="45"/>
    </row>
    <row r="37" spans="2:36" s="1" customFormat="1" ht="15.75" x14ac:dyDescent="0.25">
      <c r="B37" s="17" t="s">
        <v>85</v>
      </c>
      <c r="C37" s="17"/>
      <c r="D37" s="17"/>
      <c r="E37" s="45" t="s">
        <v>0</v>
      </c>
      <c r="G37" s="23">
        <f t="shared" ref="G37:AJ37" si="5">G25+G33</f>
        <v>493324.14927052654</v>
      </c>
      <c r="H37" s="23">
        <f t="shared" si="5"/>
        <v>544976.63225593709</v>
      </c>
      <c r="I37" s="23">
        <f t="shared" si="5"/>
        <v>504965.92490105599</v>
      </c>
      <c r="J37" s="23">
        <f t="shared" si="5"/>
        <v>515065.24339907698</v>
      </c>
      <c r="K37" s="23">
        <f t="shared" si="5"/>
        <v>525366.54826705845</v>
      </c>
      <c r="L37" s="23">
        <f t="shared" si="5"/>
        <v>535873.87923239986</v>
      </c>
      <c r="M37" s="23">
        <f t="shared" si="5"/>
        <v>546591.35681704781</v>
      </c>
      <c r="N37" s="23">
        <f t="shared" si="5"/>
        <v>557523.18395338859</v>
      </c>
      <c r="O37" s="23">
        <f t="shared" si="5"/>
        <v>568673.6476324565</v>
      </c>
      <c r="P37" s="23">
        <f t="shared" si="5"/>
        <v>580047.12058510561</v>
      </c>
      <c r="Q37" s="23">
        <f t="shared" si="5"/>
        <v>555764.54497106047</v>
      </c>
      <c r="R37" s="23">
        <f t="shared" si="5"/>
        <v>617816.73670438246</v>
      </c>
      <c r="S37" s="23">
        <f t="shared" si="5"/>
        <v>568113.77295787632</v>
      </c>
      <c r="T37" s="23">
        <f t="shared" si="5"/>
        <v>579476.04841703386</v>
      </c>
      <c r="U37" s="23">
        <f t="shared" si="5"/>
        <v>591065.56938537443</v>
      </c>
      <c r="V37" s="23">
        <f t="shared" si="5"/>
        <v>602886.88077308203</v>
      </c>
      <c r="W37" s="23">
        <f t="shared" si="5"/>
        <v>614944.6183885436</v>
      </c>
      <c r="X37" s="23">
        <f t="shared" si="5"/>
        <v>627243.5107563145</v>
      </c>
      <c r="Y37" s="23">
        <f t="shared" si="5"/>
        <v>639788.38097144105</v>
      </c>
      <c r="Z37" s="23">
        <f t="shared" si="5"/>
        <v>652584.1485908695</v>
      </c>
      <c r="AA37" s="23">
        <f t="shared" si="5"/>
        <v>0</v>
      </c>
      <c r="AB37" s="23">
        <f t="shared" si="5"/>
        <v>0</v>
      </c>
      <c r="AC37" s="23">
        <f t="shared" si="5"/>
        <v>0</v>
      </c>
      <c r="AD37" s="23">
        <f t="shared" si="5"/>
        <v>0</v>
      </c>
      <c r="AE37" s="23">
        <f t="shared" si="5"/>
        <v>0</v>
      </c>
      <c r="AF37" s="23">
        <f t="shared" si="5"/>
        <v>0</v>
      </c>
      <c r="AG37" s="23">
        <f t="shared" si="5"/>
        <v>0</v>
      </c>
      <c r="AH37" s="23">
        <f t="shared" si="5"/>
        <v>0</v>
      </c>
      <c r="AI37" s="23">
        <f t="shared" si="5"/>
        <v>0</v>
      </c>
      <c r="AJ37" s="23">
        <f t="shared" si="5"/>
        <v>0</v>
      </c>
    </row>
    <row r="38" spans="2:36" s="1" customFormat="1" ht="15.75" x14ac:dyDescent="0.25">
      <c r="B38" s="17"/>
      <c r="C38" s="17"/>
      <c r="D38" s="17"/>
      <c r="E38" s="45" t="s">
        <v>174</v>
      </c>
      <c r="F38" s="45" t="s">
        <v>137</v>
      </c>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row>
    <row r="39" spans="2:36" s="1" customFormat="1" x14ac:dyDescent="0.2">
      <c r="B39" s="24" t="s">
        <v>111</v>
      </c>
      <c r="C39" s="24"/>
      <c r="D39" s="24"/>
      <c r="E39" s="25">
        <f>IF(OR('Financial Inputs'!$P$159=0,'Financial Inputs'!$P$159=""),"N/A",AVERAGE(G39:AJ39))</f>
        <v>3.7833380333276287</v>
      </c>
      <c r="F39" s="25">
        <f>IF(OR('Financial Inputs'!$P$159=0,'Financial Inputs'!$P$159=""),"N/A",MIN(G39:AJ39))</f>
        <v>3.2457916261379252</v>
      </c>
      <c r="G39" s="25">
        <f>IF(OR('Financial Inputs'!$P$159=0,'Financial Inputs'!$P$159=""),"N/A",IF(G$2&gt;'Financial Inputs'!$P$158,"N/A",(G37+SUM(G46:G46))/-G127))</f>
        <v>3.7525447294607002</v>
      </c>
      <c r="H39" s="25">
        <f>IF(OR('Financial Inputs'!$P$159=0,'Financial Inputs'!$P$159=""),"N/A",IF(H$2&gt;'Financial Inputs'!$P$158,"N/A",(H37+SUM(H46:H46))/-H127))</f>
        <v>4.1454471508748423</v>
      </c>
      <c r="I39" s="25">
        <f>IF(OR('Financial Inputs'!$P$159=0,'Financial Inputs'!$P$159=""),"N/A",IF(I$2&gt;'Financial Inputs'!$P$158,"N/A",(I37+SUM(I46:I46))/-I127))</f>
        <v>3.2515084268611818</v>
      </c>
      <c r="J39" s="25">
        <f>IF(OR('Financial Inputs'!$P$159=0,'Financial Inputs'!$P$159=""),"N/A",IF(J$2&gt;'Financial Inputs'!$P$158,"N/A",(J37+SUM(J46:J46))/-J127))</f>
        <v>3.9179216490893847</v>
      </c>
      <c r="K39" s="25">
        <f>IF(OR('Financial Inputs'!$P$159=0,'Financial Inputs'!$P$159=""),"N/A",IF(K$2&gt;'Financial Inputs'!$P$158,"N/A",(K37+SUM(K46:K46))/-K127))</f>
        <v>3.9962800820711717</v>
      </c>
      <c r="L39" s="25">
        <f>IF(OR('Financial Inputs'!$P$159=0,'Financial Inputs'!$P$159=""),"N/A",IF(L$2&gt;'Financial Inputs'!$P$158,"N/A",(L37+SUM(L46:L46))/-L127))</f>
        <v>3.4505267546525014</v>
      </c>
      <c r="M39" s="25">
        <f>IF(OR('Financial Inputs'!$P$159=0,'Financial Inputs'!$P$159=""),"N/A",IF(M$2&gt;'Financial Inputs'!$P$158,"N/A",(M37+SUM(M46:M46))/-M127))</f>
        <v>4.1577297973868488</v>
      </c>
      <c r="N39" s="25">
        <f>IF(OR('Financial Inputs'!$P$159=0,'Financial Inputs'!$P$159=""),"N/A",IF(N$2&gt;'Financial Inputs'!$P$158,"N/A",(N37+SUM(N46:N46))/-N127))</f>
        <v>3.5899280355404604</v>
      </c>
      <c r="O39" s="25">
        <f>IF(OR('Financial Inputs'!$P$159=0,'Financial Inputs'!$P$159=""),"N/A",IF(O$2&gt;'Financial Inputs'!$P$158,"N/A",(O37+SUM(O46:O46))/-O127))</f>
        <v>4.3257020812012765</v>
      </c>
      <c r="P39" s="25">
        <f>IF(OR('Financial Inputs'!$P$159=0,'Financial Inputs'!$P$159=""),"N/A",IF(P$2&gt;'Financial Inputs'!$P$158,"N/A",(P37+SUM(P46:P46))/-P127))</f>
        <v>3.2457916261379252</v>
      </c>
      <c r="Q39" s="25" t="str">
        <f>IF(OR('Financial Inputs'!$P$159=0,'Financial Inputs'!$P$159=""),"N/A",IF(Q$2&gt;'Financial Inputs'!$P$158,"N/A",(Q37+SUM(Q46:Q46))/-Q127))</f>
        <v>N/A</v>
      </c>
      <c r="R39" s="25" t="str">
        <f>IF(OR('Financial Inputs'!$P$159=0,'Financial Inputs'!$P$159=""),"N/A",IF(R$2&gt;'Financial Inputs'!$P$158,"N/A",(R37+SUM(R46:R46))/-R127))</f>
        <v>N/A</v>
      </c>
      <c r="S39" s="25" t="str">
        <f>IF(OR('Financial Inputs'!$P$159=0,'Financial Inputs'!$P$159=""),"N/A",IF(S$2&gt;'Financial Inputs'!$P$158,"N/A",(S37+SUM(S46:S46))/-S127))</f>
        <v>N/A</v>
      </c>
      <c r="T39" s="25" t="str">
        <f>IF(OR('Financial Inputs'!$P$159=0,'Financial Inputs'!$P$159=""),"N/A",IF(T$2&gt;'Financial Inputs'!$P$158,"N/A",(T37+SUM(T46:T46))/-T127))</f>
        <v>N/A</v>
      </c>
      <c r="U39" s="25" t="str">
        <f>IF(OR('Financial Inputs'!$P$159=0,'Financial Inputs'!$P$159=""),"N/A",IF(U$2&gt;'Financial Inputs'!$P$158,"N/A",(U37+SUM(U46:U46))/-U127))</f>
        <v>N/A</v>
      </c>
      <c r="V39" s="25" t="str">
        <f>IF(OR('Financial Inputs'!$P$159=0,'Financial Inputs'!$P$159=""),"N/A",IF(V$2&gt;'Financial Inputs'!$P$158,"N/A",(V37+SUM(V46:V46))/-V127))</f>
        <v>N/A</v>
      </c>
      <c r="W39" s="25" t="str">
        <f>IF(OR('Financial Inputs'!$P$159=0,'Financial Inputs'!$P$159=""),"N/A",IF(W$2&gt;'Financial Inputs'!$P$158,"N/A",(W37+SUM(W46:W46))/-W127))</f>
        <v>N/A</v>
      </c>
      <c r="X39" s="25" t="str">
        <f>IF(OR('Financial Inputs'!$P$159=0,'Financial Inputs'!$P$159=""),"N/A",IF(X$2&gt;'Financial Inputs'!$P$158,"N/A",(X37+SUM(X46:X46))/-X127))</f>
        <v>N/A</v>
      </c>
      <c r="Y39" s="25" t="str">
        <f>IF(OR('Financial Inputs'!$P$159=0,'Financial Inputs'!$P$159=""),"N/A",IF(Y$2&gt;'Financial Inputs'!$P$158,"N/A",(Y37+SUM(Y46:Y46))/-Y127))</f>
        <v>N/A</v>
      </c>
      <c r="Z39" s="25" t="str">
        <f>IF(OR('Financial Inputs'!$P$159=0,'Financial Inputs'!$P$159=""),"N/A",IF(Z$2&gt;'Financial Inputs'!$P$158,"N/A",(Z37+SUM(Z46:Z46))/-Z127))</f>
        <v>N/A</v>
      </c>
      <c r="AA39" s="25" t="str">
        <f>IF(OR('Financial Inputs'!$P$159=0,'Financial Inputs'!$P$159=""),"N/A",IF(AA$2&gt;'Financial Inputs'!$P$158,"N/A",(AA37+SUM(AA46:AA46))/-AA127))</f>
        <v>N/A</v>
      </c>
      <c r="AB39" s="25" t="str">
        <f>IF(OR('Financial Inputs'!$P$159=0,'Financial Inputs'!$P$159=""),"N/A",IF(AB$2&gt;'Financial Inputs'!$P$158,"N/A",(AB37+SUM(AB46:AB46))/-AB127))</f>
        <v>N/A</v>
      </c>
      <c r="AC39" s="25" t="str">
        <f>IF(OR('Financial Inputs'!$P$159=0,'Financial Inputs'!$P$159=""),"N/A",IF(AC$2&gt;'Financial Inputs'!$P$158,"N/A",(AC37+SUM(AC46:AC46))/-AC127))</f>
        <v>N/A</v>
      </c>
      <c r="AD39" s="25" t="str">
        <f>IF(OR('Financial Inputs'!$P$159=0,'Financial Inputs'!$P$159=""),"N/A",IF(AD$2&gt;'Financial Inputs'!$P$158,"N/A",(AD37+SUM(AD46:AD46))/-AD127))</f>
        <v>N/A</v>
      </c>
      <c r="AE39" s="25" t="str">
        <f>IF(OR('Financial Inputs'!$P$159=0,'Financial Inputs'!$P$159=""),"N/A",IF(AE$2&gt;'Financial Inputs'!$P$158,"N/A",(AE37+SUM(AE46:AE46))/-AE127))</f>
        <v>N/A</v>
      </c>
      <c r="AF39" s="25" t="str">
        <f>IF(OR('Financial Inputs'!$P$159=0,'Financial Inputs'!$P$159=""),"N/A",IF(AF$2&gt;'Financial Inputs'!$P$158,"N/A",(AF37+SUM(AF46:AF46))/-AF127))</f>
        <v>N/A</v>
      </c>
      <c r="AG39" s="25" t="str">
        <f>IF(OR('Financial Inputs'!$P$159=0,'Financial Inputs'!$P$159=""),"N/A",IF(AG$2&gt;'Financial Inputs'!$P$158,"N/A",(AG37+SUM(AG46:AG46))/-AG127))</f>
        <v>N/A</v>
      </c>
      <c r="AH39" s="25" t="str">
        <f>IF(OR('Financial Inputs'!$P$159=0,'Financial Inputs'!$P$159=""),"N/A",IF(AH$2&gt;'Financial Inputs'!$P$158,"N/A",(AH37+SUM(AH46:AH46))/-AH127))</f>
        <v>N/A</v>
      </c>
      <c r="AI39" s="25" t="str">
        <f>IF(OR('Financial Inputs'!$P$159=0,'Financial Inputs'!$P$159=""),"N/A",IF(AI$2&gt;'Financial Inputs'!$P$158,"N/A",(AI37+SUM(AI46:AI46))/-AI127))</f>
        <v>N/A</v>
      </c>
      <c r="AJ39" s="25" t="str">
        <f>IF(OR('Financial Inputs'!$P$159=0,'Financial Inputs'!$P$159=""),"N/A",IF(AJ$2&gt;'Financial Inputs'!$P$158,"N/A",(AJ37+SUM(AJ46:AJ46))/-AJ127))</f>
        <v>N/A</v>
      </c>
    </row>
    <row r="40" spans="2:36" s="1" customFormat="1" x14ac:dyDescent="0.2">
      <c r="B40" s="24" t="s">
        <v>638</v>
      </c>
      <c r="C40" s="24"/>
      <c r="D40" s="24"/>
      <c r="E40" s="45"/>
      <c r="F40" s="25"/>
      <c r="G40" s="253" t="str">
        <f t="shared" ref="G40:AJ40" si="6">IF(G39=$F$39,G2,"")</f>
        <v/>
      </c>
      <c r="H40" s="253" t="str">
        <f t="shared" si="6"/>
        <v/>
      </c>
      <c r="I40" s="253" t="str">
        <f t="shared" si="6"/>
        <v/>
      </c>
      <c r="J40" s="253" t="str">
        <f t="shared" si="6"/>
        <v/>
      </c>
      <c r="K40" s="253" t="str">
        <f t="shared" si="6"/>
        <v/>
      </c>
      <c r="L40" s="253" t="str">
        <f t="shared" si="6"/>
        <v/>
      </c>
      <c r="M40" s="253" t="str">
        <f t="shared" si="6"/>
        <v/>
      </c>
      <c r="N40" s="253" t="str">
        <f t="shared" si="6"/>
        <v/>
      </c>
      <c r="O40" s="253" t="str">
        <f t="shared" si="6"/>
        <v/>
      </c>
      <c r="P40" s="253">
        <f t="shared" si="6"/>
        <v>10</v>
      </c>
      <c r="Q40" s="253" t="str">
        <f t="shared" si="6"/>
        <v/>
      </c>
      <c r="R40" s="253" t="str">
        <f t="shared" si="6"/>
        <v/>
      </c>
      <c r="S40" s="253" t="str">
        <f t="shared" si="6"/>
        <v/>
      </c>
      <c r="T40" s="253" t="str">
        <f t="shared" si="6"/>
        <v/>
      </c>
      <c r="U40" s="253" t="str">
        <f t="shared" si="6"/>
        <v/>
      </c>
      <c r="V40" s="253" t="str">
        <f t="shared" si="6"/>
        <v/>
      </c>
      <c r="W40" s="253" t="str">
        <f t="shared" si="6"/>
        <v/>
      </c>
      <c r="X40" s="253" t="str">
        <f t="shared" si="6"/>
        <v/>
      </c>
      <c r="Y40" s="253" t="str">
        <f t="shared" si="6"/>
        <v/>
      </c>
      <c r="Z40" s="253" t="str">
        <f t="shared" si="6"/>
        <v/>
      </c>
      <c r="AA40" s="253" t="str">
        <f t="shared" si="6"/>
        <v/>
      </c>
      <c r="AB40" s="253" t="str">
        <f t="shared" si="6"/>
        <v/>
      </c>
      <c r="AC40" s="253" t="str">
        <f t="shared" si="6"/>
        <v/>
      </c>
      <c r="AD40" s="253" t="str">
        <f t="shared" si="6"/>
        <v/>
      </c>
      <c r="AE40" s="253" t="str">
        <f t="shared" si="6"/>
        <v/>
      </c>
      <c r="AF40" s="253" t="str">
        <f t="shared" si="6"/>
        <v/>
      </c>
      <c r="AG40" s="253" t="str">
        <f t="shared" si="6"/>
        <v/>
      </c>
      <c r="AH40" s="253" t="str">
        <f t="shared" si="6"/>
        <v/>
      </c>
      <c r="AI40" s="253" t="str">
        <f t="shared" si="6"/>
        <v/>
      </c>
      <c r="AJ40" s="253" t="str">
        <f t="shared" si="6"/>
        <v/>
      </c>
    </row>
    <row r="41" spans="2:36" s="1" customFormat="1" x14ac:dyDescent="0.2">
      <c r="B41" s="1" t="s">
        <v>90</v>
      </c>
      <c r="E41" s="45"/>
      <c r="G41" s="21">
        <f>G128</f>
        <v>-70570.675343171912</v>
      </c>
      <c r="H41" s="21">
        <f t="shared" ref="H41:AJ41" si="7">H128</f>
        <v>-65699.217707225427</v>
      </c>
      <c r="I41" s="21">
        <f t="shared" si="7"/>
        <v>-60438.043460403249</v>
      </c>
      <c r="J41" s="21">
        <f t="shared" si="7"/>
        <v>-54755.975273835305</v>
      </c>
      <c r="K41" s="21">
        <f t="shared" si="7"/>
        <v>-48619.341632341908</v>
      </c>
      <c r="L41" s="21">
        <f t="shared" si="7"/>
        <v>-41991.777299529043</v>
      </c>
      <c r="M41" s="21">
        <f t="shared" si="7"/>
        <v>-34834.007820091159</v>
      </c>
      <c r="N41" s="21">
        <f t="shared" si="7"/>
        <v>-27103.616782298228</v>
      </c>
      <c r="O41" s="21">
        <f t="shared" si="7"/>
        <v>-18754.794461481873</v>
      </c>
      <c r="P41" s="21">
        <f t="shared" si="7"/>
        <v>-9738.0663550002009</v>
      </c>
      <c r="Q41" s="21">
        <f t="shared" si="7"/>
        <v>0</v>
      </c>
      <c r="R41" s="21">
        <f t="shared" si="7"/>
        <v>0</v>
      </c>
      <c r="S41" s="21">
        <f t="shared" si="7"/>
        <v>0</v>
      </c>
      <c r="T41" s="21">
        <f t="shared" si="7"/>
        <v>0</v>
      </c>
      <c r="U41" s="21">
        <f t="shared" si="7"/>
        <v>0</v>
      </c>
      <c r="V41" s="21">
        <f t="shared" si="7"/>
        <v>0</v>
      </c>
      <c r="W41" s="21">
        <f t="shared" si="7"/>
        <v>0</v>
      </c>
      <c r="X41" s="21">
        <f t="shared" si="7"/>
        <v>0</v>
      </c>
      <c r="Y41" s="21">
        <f t="shared" si="7"/>
        <v>0</v>
      </c>
      <c r="Z41" s="21">
        <f t="shared" si="7"/>
        <v>0</v>
      </c>
      <c r="AA41" s="21">
        <f t="shared" si="7"/>
        <v>0</v>
      </c>
      <c r="AB41" s="21">
        <f t="shared" si="7"/>
        <v>0</v>
      </c>
      <c r="AC41" s="21">
        <f t="shared" si="7"/>
        <v>0</v>
      </c>
      <c r="AD41" s="21">
        <f t="shared" si="7"/>
        <v>0</v>
      </c>
      <c r="AE41" s="21">
        <f t="shared" si="7"/>
        <v>0</v>
      </c>
      <c r="AF41" s="21">
        <f t="shared" si="7"/>
        <v>0</v>
      </c>
      <c r="AG41" s="21">
        <f t="shared" si="7"/>
        <v>0</v>
      </c>
      <c r="AH41" s="21">
        <f t="shared" si="7"/>
        <v>0</v>
      </c>
      <c r="AI41" s="21">
        <f t="shared" si="7"/>
        <v>0</v>
      </c>
      <c r="AJ41" s="21">
        <f t="shared" si="7"/>
        <v>0</v>
      </c>
    </row>
    <row r="42" spans="2:36" s="1" customFormat="1" x14ac:dyDescent="0.2">
      <c r="B42" s="1" t="s">
        <v>725</v>
      </c>
      <c r="E42" s="932">
        <f>'Financial Inputs'!G70</f>
        <v>2.5000000000000001E-3</v>
      </c>
      <c r="G42" s="21">
        <f t="shared" ref="G42:AJ42" si="8">-$E$42*G135</f>
        <v>-2053.1005533507932</v>
      </c>
      <c r="H42" s="21">
        <f t="shared" si="8"/>
        <v>-1888.6888581376002</v>
      </c>
      <c r="I42" s="21">
        <f t="shared" si="8"/>
        <v>-1711.1242273073519</v>
      </c>
      <c r="J42" s="21">
        <f t="shared" si="8"/>
        <v>-1519.3544260106835</v>
      </c>
      <c r="K42" s="21">
        <f t="shared" si="8"/>
        <v>-1312.2430406102817</v>
      </c>
      <c r="L42" s="21">
        <f t="shared" si="8"/>
        <v>-1088.5627443778478</v>
      </c>
      <c r="M42" s="21">
        <f t="shared" si="8"/>
        <v>-846.98802444681917</v>
      </c>
      <c r="N42" s="21">
        <f t="shared" si="8"/>
        <v>-586.08732692130809</v>
      </c>
      <c r="O42" s="21">
        <f t="shared" si="8"/>
        <v>-304.31457359375622</v>
      </c>
      <c r="P42" s="21">
        <f t="shared" si="8"/>
        <v>0</v>
      </c>
      <c r="Q42" s="21">
        <f t="shared" si="8"/>
        <v>0</v>
      </c>
      <c r="R42" s="21">
        <f t="shared" si="8"/>
        <v>0</v>
      </c>
      <c r="S42" s="21">
        <f t="shared" si="8"/>
        <v>0</v>
      </c>
      <c r="T42" s="21">
        <f t="shared" si="8"/>
        <v>0</v>
      </c>
      <c r="U42" s="21">
        <f t="shared" si="8"/>
        <v>0</v>
      </c>
      <c r="V42" s="21">
        <f t="shared" si="8"/>
        <v>0</v>
      </c>
      <c r="W42" s="21">
        <f t="shared" si="8"/>
        <v>0</v>
      </c>
      <c r="X42" s="21">
        <f t="shared" si="8"/>
        <v>0</v>
      </c>
      <c r="Y42" s="21">
        <f t="shared" si="8"/>
        <v>0</v>
      </c>
      <c r="Z42" s="21">
        <f t="shared" si="8"/>
        <v>0</v>
      </c>
      <c r="AA42" s="21">
        <f t="shared" si="8"/>
        <v>0</v>
      </c>
      <c r="AB42" s="21">
        <f t="shared" si="8"/>
        <v>0</v>
      </c>
      <c r="AC42" s="21">
        <f t="shared" si="8"/>
        <v>0</v>
      </c>
      <c r="AD42" s="21">
        <f t="shared" si="8"/>
        <v>0</v>
      </c>
      <c r="AE42" s="21">
        <f t="shared" si="8"/>
        <v>0</v>
      </c>
      <c r="AF42" s="21">
        <f t="shared" si="8"/>
        <v>0</v>
      </c>
      <c r="AG42" s="21">
        <f t="shared" si="8"/>
        <v>0</v>
      </c>
      <c r="AH42" s="21">
        <f t="shared" si="8"/>
        <v>0</v>
      </c>
      <c r="AI42" s="21">
        <f t="shared" si="8"/>
        <v>0</v>
      </c>
      <c r="AJ42" s="21">
        <f t="shared" si="8"/>
        <v>0</v>
      </c>
    </row>
    <row r="43" spans="2:36" s="1" customFormat="1" ht="15.75" x14ac:dyDescent="0.25">
      <c r="B43" s="17" t="s">
        <v>50</v>
      </c>
      <c r="C43" s="17"/>
      <c r="D43" s="17"/>
      <c r="E43" s="45"/>
      <c r="F43" s="17"/>
      <c r="G43" s="23">
        <f>G37+G41+G42</f>
        <v>420700.3733740038</v>
      </c>
      <c r="H43" s="23">
        <f t="shared" ref="H43:AJ43" si="9">H37+H41+H42</f>
        <v>477388.72569057409</v>
      </c>
      <c r="I43" s="23">
        <f t="shared" si="9"/>
        <v>442816.75721334544</v>
      </c>
      <c r="J43" s="23">
        <f t="shared" si="9"/>
        <v>458789.91369923099</v>
      </c>
      <c r="K43" s="23">
        <f t="shared" si="9"/>
        <v>475434.96359410626</v>
      </c>
      <c r="L43" s="23">
        <f t="shared" si="9"/>
        <v>492793.53918849298</v>
      </c>
      <c r="M43" s="23">
        <f t="shared" si="9"/>
        <v>510910.36097250984</v>
      </c>
      <c r="N43" s="23">
        <f t="shared" si="9"/>
        <v>529833.47984416911</v>
      </c>
      <c r="O43" s="23">
        <f t="shared" si="9"/>
        <v>549614.53859738086</v>
      </c>
      <c r="P43" s="23">
        <f t="shared" si="9"/>
        <v>570309.05423010536</v>
      </c>
      <c r="Q43" s="23">
        <f t="shared" si="9"/>
        <v>555764.54497106047</v>
      </c>
      <c r="R43" s="23">
        <f t="shared" si="9"/>
        <v>617816.73670438246</v>
      </c>
      <c r="S43" s="23">
        <f t="shared" si="9"/>
        <v>568113.77295787632</v>
      </c>
      <c r="T43" s="23">
        <f t="shared" si="9"/>
        <v>579476.04841703386</v>
      </c>
      <c r="U43" s="23">
        <f t="shared" si="9"/>
        <v>591065.56938537443</v>
      </c>
      <c r="V43" s="23">
        <f t="shared" si="9"/>
        <v>602886.88077308203</v>
      </c>
      <c r="W43" s="23">
        <f t="shared" si="9"/>
        <v>614944.6183885436</v>
      </c>
      <c r="X43" s="23">
        <f t="shared" si="9"/>
        <v>627243.5107563145</v>
      </c>
      <c r="Y43" s="23">
        <f t="shared" si="9"/>
        <v>639788.38097144105</v>
      </c>
      <c r="Z43" s="23">
        <f t="shared" si="9"/>
        <v>652584.1485908695</v>
      </c>
      <c r="AA43" s="23">
        <f t="shared" si="9"/>
        <v>0</v>
      </c>
      <c r="AB43" s="23">
        <f t="shared" si="9"/>
        <v>0</v>
      </c>
      <c r="AC43" s="23">
        <f t="shared" si="9"/>
        <v>0</v>
      </c>
      <c r="AD43" s="23">
        <f t="shared" si="9"/>
        <v>0</v>
      </c>
      <c r="AE43" s="23">
        <f t="shared" si="9"/>
        <v>0</v>
      </c>
      <c r="AF43" s="23">
        <f t="shared" si="9"/>
        <v>0</v>
      </c>
      <c r="AG43" s="23">
        <f t="shared" si="9"/>
        <v>0</v>
      </c>
      <c r="AH43" s="23">
        <f t="shared" si="9"/>
        <v>0</v>
      </c>
      <c r="AI43" s="23">
        <f t="shared" si="9"/>
        <v>0</v>
      </c>
      <c r="AJ43" s="23">
        <f t="shared" si="9"/>
        <v>0</v>
      </c>
    </row>
    <row r="44" spans="2:36" s="1" customFormat="1" x14ac:dyDescent="0.2">
      <c r="E44" s="45"/>
    </row>
    <row r="45" spans="2:36" s="1" customFormat="1" x14ac:dyDescent="0.2">
      <c r="B45" s="1" t="s">
        <v>89</v>
      </c>
      <c r="E45" s="45"/>
      <c r="G45" s="21">
        <f>G129</f>
        <v>-60893.220449330729</v>
      </c>
      <c r="H45" s="21">
        <f t="shared" ref="H45:AJ45" si="10">H129</f>
        <v>-65764.678085277206</v>
      </c>
      <c r="I45" s="21">
        <f t="shared" si="10"/>
        <v>-71025.852332099385</v>
      </c>
      <c r="J45" s="21">
        <f t="shared" si="10"/>
        <v>-76707.920518667335</v>
      </c>
      <c r="K45" s="21">
        <f t="shared" si="10"/>
        <v>-82844.55416016074</v>
      </c>
      <c r="L45" s="21">
        <f t="shared" si="10"/>
        <v>-89472.118492973575</v>
      </c>
      <c r="M45" s="21">
        <f t="shared" si="10"/>
        <v>-96629.887972411481</v>
      </c>
      <c r="N45" s="21">
        <f t="shared" si="10"/>
        <v>-104360.27901020441</v>
      </c>
      <c r="O45" s="21">
        <f t="shared" si="10"/>
        <v>-112709.10133102076</v>
      </c>
      <c r="P45" s="21">
        <f t="shared" si="10"/>
        <v>-121725.82943750243</v>
      </c>
      <c r="Q45" s="21">
        <f t="shared" si="10"/>
        <v>0</v>
      </c>
      <c r="R45" s="21">
        <f t="shared" si="10"/>
        <v>0</v>
      </c>
      <c r="S45" s="21">
        <f t="shared" si="10"/>
        <v>0</v>
      </c>
      <c r="T45" s="21">
        <f t="shared" si="10"/>
        <v>0</v>
      </c>
      <c r="U45" s="21">
        <f t="shared" si="10"/>
        <v>0</v>
      </c>
      <c r="V45" s="21">
        <f t="shared" si="10"/>
        <v>0</v>
      </c>
      <c r="W45" s="21">
        <f t="shared" si="10"/>
        <v>0</v>
      </c>
      <c r="X45" s="21">
        <f t="shared" si="10"/>
        <v>0</v>
      </c>
      <c r="Y45" s="21">
        <f t="shared" si="10"/>
        <v>0</v>
      </c>
      <c r="Z45" s="21">
        <f t="shared" si="10"/>
        <v>0</v>
      </c>
      <c r="AA45" s="21">
        <f t="shared" si="10"/>
        <v>0</v>
      </c>
      <c r="AB45" s="21">
        <f t="shared" si="10"/>
        <v>0</v>
      </c>
      <c r="AC45" s="21">
        <f t="shared" si="10"/>
        <v>0</v>
      </c>
      <c r="AD45" s="21">
        <f t="shared" si="10"/>
        <v>0</v>
      </c>
      <c r="AE45" s="21">
        <f t="shared" si="10"/>
        <v>0</v>
      </c>
      <c r="AF45" s="21">
        <f t="shared" si="10"/>
        <v>0</v>
      </c>
      <c r="AG45" s="21">
        <f t="shared" si="10"/>
        <v>0</v>
      </c>
      <c r="AH45" s="21">
        <f t="shared" si="10"/>
        <v>0</v>
      </c>
      <c r="AI45" s="21">
        <f t="shared" si="10"/>
        <v>0</v>
      </c>
      <c r="AJ45" s="21">
        <f t="shared" si="10"/>
        <v>0</v>
      </c>
    </row>
    <row r="46" spans="2:36" s="1" customFormat="1" x14ac:dyDescent="0.2">
      <c r="B46" s="1" t="s">
        <v>830</v>
      </c>
      <c r="E46" s="782"/>
      <c r="G46" s="21">
        <f>-(G172+G176+G179)</f>
        <v>0</v>
      </c>
      <c r="H46" s="21">
        <f t="shared" ref="H46:AJ46" si="11">-(H172+H176+H179)</f>
        <v>0</v>
      </c>
      <c r="I46" s="21">
        <f t="shared" si="11"/>
        <v>-77509.959903733426</v>
      </c>
      <c r="J46" s="21">
        <f t="shared" si="11"/>
        <v>0</v>
      </c>
      <c r="K46" s="21">
        <f t="shared" si="11"/>
        <v>0</v>
      </c>
      <c r="L46" s="21">
        <f t="shared" si="11"/>
        <v>-82254.189529521143</v>
      </c>
      <c r="M46" s="21">
        <f t="shared" si="11"/>
        <v>0</v>
      </c>
      <c r="N46" s="21">
        <f t="shared" si="11"/>
        <v>-85577.258786513776</v>
      </c>
      <c r="O46" s="21">
        <f t="shared" si="11"/>
        <v>0</v>
      </c>
      <c r="P46" s="21">
        <f t="shared" si="11"/>
        <v>-153342.7084823318</v>
      </c>
      <c r="Q46" s="21">
        <f t="shared" si="11"/>
        <v>-90815.271642318723</v>
      </c>
      <c r="R46" s="21">
        <f t="shared" si="11"/>
        <v>0</v>
      </c>
      <c r="S46" s="21">
        <f t="shared" si="11"/>
        <v>-94484.208616668402</v>
      </c>
      <c r="T46" s="21">
        <f t="shared" si="11"/>
        <v>0</v>
      </c>
      <c r="U46" s="21">
        <f t="shared" si="11"/>
        <v>0</v>
      </c>
      <c r="V46" s="21">
        <f t="shared" si="11"/>
        <v>-100267.39805767742</v>
      </c>
      <c r="W46" s="21">
        <f t="shared" si="11"/>
        <v>0</v>
      </c>
      <c r="X46" s="21">
        <f t="shared" si="11"/>
        <v>-104318.20093920761</v>
      </c>
      <c r="Y46" s="21">
        <f t="shared" si="11"/>
        <v>0</v>
      </c>
      <c r="Z46" s="21">
        <f t="shared" si="11"/>
        <v>-550667.15019854461</v>
      </c>
      <c r="AA46" s="21">
        <f t="shared" si="11"/>
        <v>0</v>
      </c>
      <c r="AB46" s="21">
        <f t="shared" si="11"/>
        <v>0</v>
      </c>
      <c r="AC46" s="21">
        <f t="shared" si="11"/>
        <v>0</v>
      </c>
      <c r="AD46" s="21">
        <f t="shared" si="11"/>
        <v>0</v>
      </c>
      <c r="AE46" s="21">
        <f t="shared" si="11"/>
        <v>0</v>
      </c>
      <c r="AF46" s="21">
        <f t="shared" si="11"/>
        <v>0</v>
      </c>
      <c r="AG46" s="21">
        <f t="shared" si="11"/>
        <v>0</v>
      </c>
      <c r="AH46" s="21">
        <f t="shared" si="11"/>
        <v>0</v>
      </c>
      <c r="AI46" s="21">
        <f t="shared" si="11"/>
        <v>0</v>
      </c>
      <c r="AJ46" s="21">
        <f t="shared" si="11"/>
        <v>0</v>
      </c>
    </row>
    <row r="47" spans="2:36" s="1" customFormat="1" x14ac:dyDescent="0.2">
      <c r="B47" s="1" t="s">
        <v>834</v>
      </c>
      <c r="E47" s="782"/>
      <c r="G47" s="21">
        <f>-G237</f>
        <v>0</v>
      </c>
      <c r="H47" s="21">
        <f t="shared" ref="H47:AJ47" si="12">-H237</f>
        <v>0</v>
      </c>
      <c r="I47" s="21">
        <f t="shared" si="12"/>
        <v>0</v>
      </c>
      <c r="J47" s="21">
        <f t="shared" si="12"/>
        <v>0</v>
      </c>
      <c r="K47" s="21">
        <f t="shared" si="12"/>
        <v>0</v>
      </c>
      <c r="L47" s="21">
        <f t="shared" si="12"/>
        <v>0</v>
      </c>
      <c r="M47" s="21">
        <f t="shared" si="12"/>
        <v>0</v>
      </c>
      <c r="N47" s="21">
        <f t="shared" si="12"/>
        <v>0</v>
      </c>
      <c r="O47" s="21">
        <f t="shared" si="12"/>
        <v>0</v>
      </c>
      <c r="P47" s="21">
        <f t="shared" si="12"/>
        <v>0</v>
      </c>
      <c r="Q47" s="21">
        <f t="shared" si="12"/>
        <v>0</v>
      </c>
      <c r="R47" s="21">
        <f t="shared" si="12"/>
        <v>0</v>
      </c>
      <c r="S47" s="21">
        <f t="shared" si="12"/>
        <v>0</v>
      </c>
      <c r="T47" s="21">
        <f t="shared" si="12"/>
        <v>0</v>
      </c>
      <c r="U47" s="21">
        <f t="shared" si="12"/>
        <v>0</v>
      </c>
      <c r="V47" s="21">
        <f t="shared" si="12"/>
        <v>0</v>
      </c>
      <c r="W47" s="21">
        <f t="shared" si="12"/>
        <v>0</v>
      </c>
      <c r="X47" s="21">
        <f t="shared" si="12"/>
        <v>0</v>
      </c>
      <c r="Y47" s="21">
        <f t="shared" si="12"/>
        <v>0</v>
      </c>
      <c r="Z47" s="21">
        <f t="shared" si="12"/>
        <v>404993.38446729438</v>
      </c>
      <c r="AA47" s="21">
        <f t="shared" si="12"/>
        <v>0</v>
      </c>
      <c r="AB47" s="21">
        <f t="shared" si="12"/>
        <v>0</v>
      </c>
      <c r="AC47" s="21">
        <f t="shared" si="12"/>
        <v>0</v>
      </c>
      <c r="AD47" s="21">
        <f t="shared" si="12"/>
        <v>0</v>
      </c>
      <c r="AE47" s="21">
        <f t="shared" si="12"/>
        <v>0</v>
      </c>
      <c r="AF47" s="21">
        <f t="shared" si="12"/>
        <v>0</v>
      </c>
      <c r="AG47" s="21">
        <f t="shared" si="12"/>
        <v>0</v>
      </c>
      <c r="AH47" s="21">
        <f t="shared" si="12"/>
        <v>0</v>
      </c>
      <c r="AI47" s="21">
        <f t="shared" si="12"/>
        <v>0</v>
      </c>
      <c r="AJ47" s="21">
        <f t="shared" si="12"/>
        <v>0</v>
      </c>
    </row>
    <row r="48" spans="2:36" s="1" customFormat="1" ht="15.75" x14ac:dyDescent="0.25">
      <c r="B48" s="26" t="s">
        <v>51</v>
      </c>
      <c r="C48" s="26"/>
      <c r="D48" s="26"/>
      <c r="E48" s="215"/>
      <c r="F48" s="215"/>
      <c r="G48" s="23">
        <f>G43+SUM(G45:G47)</f>
        <v>359807.15292467305</v>
      </c>
      <c r="H48" s="23">
        <f t="shared" ref="H48:AJ48" si="13">H43+SUM(H45:H47)</f>
        <v>411624.04760529689</v>
      </c>
      <c r="I48" s="23">
        <f t="shared" si="13"/>
        <v>294280.94497751264</v>
      </c>
      <c r="J48" s="23">
        <f t="shared" si="13"/>
        <v>382081.99318056367</v>
      </c>
      <c r="K48" s="23">
        <f t="shared" si="13"/>
        <v>392590.40943394555</v>
      </c>
      <c r="L48" s="23">
        <f t="shared" si="13"/>
        <v>321067.23116599827</v>
      </c>
      <c r="M48" s="23">
        <f t="shared" si="13"/>
        <v>414280.47300009837</v>
      </c>
      <c r="N48" s="23">
        <f t="shared" si="13"/>
        <v>339895.94204745092</v>
      </c>
      <c r="O48" s="23">
        <f t="shared" si="13"/>
        <v>436905.4372663601</v>
      </c>
      <c r="P48" s="23">
        <f t="shared" si="13"/>
        <v>295240.51631027111</v>
      </c>
      <c r="Q48" s="23">
        <f t="shared" si="13"/>
        <v>464949.27332874178</v>
      </c>
      <c r="R48" s="23">
        <f t="shared" si="13"/>
        <v>617816.73670438246</v>
      </c>
      <c r="S48" s="23">
        <f t="shared" si="13"/>
        <v>473629.56434120791</v>
      </c>
      <c r="T48" s="23">
        <f t="shared" si="13"/>
        <v>579476.04841703386</v>
      </c>
      <c r="U48" s="23">
        <f t="shared" si="13"/>
        <v>591065.56938537443</v>
      </c>
      <c r="V48" s="23">
        <f t="shared" si="13"/>
        <v>502619.48271540459</v>
      </c>
      <c r="W48" s="23">
        <f t="shared" si="13"/>
        <v>614944.6183885436</v>
      </c>
      <c r="X48" s="23">
        <f t="shared" si="13"/>
        <v>522925.30981710687</v>
      </c>
      <c r="Y48" s="23">
        <f t="shared" si="13"/>
        <v>639788.38097144105</v>
      </c>
      <c r="Z48" s="23">
        <f t="shared" si="13"/>
        <v>506910.38285961928</v>
      </c>
      <c r="AA48" s="23">
        <f t="shared" si="13"/>
        <v>0</v>
      </c>
      <c r="AB48" s="23">
        <f t="shared" si="13"/>
        <v>0</v>
      </c>
      <c r="AC48" s="23">
        <f t="shared" si="13"/>
        <v>0</v>
      </c>
      <c r="AD48" s="23">
        <f t="shared" si="13"/>
        <v>0</v>
      </c>
      <c r="AE48" s="23">
        <f t="shared" si="13"/>
        <v>0</v>
      </c>
      <c r="AF48" s="23">
        <f t="shared" si="13"/>
        <v>0</v>
      </c>
      <c r="AG48" s="23">
        <f t="shared" si="13"/>
        <v>0</v>
      </c>
      <c r="AH48" s="23">
        <f t="shared" si="13"/>
        <v>0</v>
      </c>
      <c r="AI48" s="23">
        <f t="shared" si="13"/>
        <v>0</v>
      </c>
      <c r="AJ48" s="23">
        <f t="shared" si="13"/>
        <v>0</v>
      </c>
    </row>
    <row r="49" spans="2:36" s="1" customFormat="1" ht="15.75" x14ac:dyDescent="0.25">
      <c r="B49" s="17"/>
      <c r="C49" s="17"/>
      <c r="G49" s="21"/>
    </row>
    <row r="50" spans="2:36" s="1" customFormat="1" ht="15.75" x14ac:dyDescent="0.25">
      <c r="B50" s="12" t="s">
        <v>52</v>
      </c>
      <c r="C50" s="12"/>
      <c r="D50" s="12"/>
      <c r="F50" s="51"/>
      <c r="G50" s="21"/>
    </row>
    <row r="51" spans="2:36" s="1" customFormat="1" x14ac:dyDescent="0.2">
      <c r="B51" s="1" t="s">
        <v>175</v>
      </c>
      <c r="F51" s="21">
        <f>-('Financial Inputs'!$G$41-'Financial Inputs'!$G$76-$F$124)</f>
        <v>-2666978.3572946326</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row>
    <row r="52" spans="2:36" s="1" customFormat="1" x14ac:dyDescent="0.2">
      <c r="B52" s="20" t="s">
        <v>51</v>
      </c>
      <c r="C52" s="20"/>
      <c r="D52" s="20"/>
      <c r="E52" s="20"/>
      <c r="F52" s="20"/>
      <c r="G52" s="22">
        <f>G48</f>
        <v>359807.15292467305</v>
      </c>
      <c r="H52" s="22">
        <f t="shared" ref="H52:AJ52" si="14">H48</f>
        <v>411624.04760529689</v>
      </c>
      <c r="I52" s="22">
        <f t="shared" si="14"/>
        <v>294280.94497751264</v>
      </c>
      <c r="J52" s="22">
        <f t="shared" si="14"/>
        <v>382081.99318056367</v>
      </c>
      <c r="K52" s="22">
        <f t="shared" si="14"/>
        <v>392590.40943394555</v>
      </c>
      <c r="L52" s="22">
        <f t="shared" si="14"/>
        <v>321067.23116599827</v>
      </c>
      <c r="M52" s="22">
        <f t="shared" si="14"/>
        <v>414280.47300009837</v>
      </c>
      <c r="N52" s="22">
        <f t="shared" si="14"/>
        <v>339895.94204745092</v>
      </c>
      <c r="O52" s="22">
        <f t="shared" si="14"/>
        <v>436905.4372663601</v>
      </c>
      <c r="P52" s="22">
        <f t="shared" si="14"/>
        <v>295240.51631027111</v>
      </c>
      <c r="Q52" s="22">
        <f t="shared" si="14"/>
        <v>464949.27332874178</v>
      </c>
      <c r="R52" s="22">
        <f t="shared" si="14"/>
        <v>617816.73670438246</v>
      </c>
      <c r="S52" s="22">
        <f t="shared" si="14"/>
        <v>473629.56434120791</v>
      </c>
      <c r="T52" s="22">
        <f t="shared" si="14"/>
        <v>579476.04841703386</v>
      </c>
      <c r="U52" s="22">
        <f t="shared" si="14"/>
        <v>591065.56938537443</v>
      </c>
      <c r="V52" s="22">
        <f t="shared" si="14"/>
        <v>502619.48271540459</v>
      </c>
      <c r="W52" s="22">
        <f t="shared" si="14"/>
        <v>614944.6183885436</v>
      </c>
      <c r="X52" s="22">
        <f t="shared" si="14"/>
        <v>522925.30981710687</v>
      </c>
      <c r="Y52" s="22">
        <f t="shared" si="14"/>
        <v>639788.38097144105</v>
      </c>
      <c r="Z52" s="22">
        <f t="shared" si="14"/>
        <v>506910.38285961928</v>
      </c>
      <c r="AA52" s="22">
        <f t="shared" si="14"/>
        <v>0</v>
      </c>
      <c r="AB52" s="22">
        <f t="shared" si="14"/>
        <v>0</v>
      </c>
      <c r="AC52" s="22">
        <f t="shared" si="14"/>
        <v>0</v>
      </c>
      <c r="AD52" s="22">
        <f t="shared" si="14"/>
        <v>0</v>
      </c>
      <c r="AE52" s="22">
        <f t="shared" si="14"/>
        <v>0</v>
      </c>
      <c r="AF52" s="22">
        <f t="shared" si="14"/>
        <v>0</v>
      </c>
      <c r="AG52" s="22">
        <f t="shared" si="14"/>
        <v>0</v>
      </c>
      <c r="AH52" s="22">
        <f t="shared" si="14"/>
        <v>0</v>
      </c>
      <c r="AI52" s="22">
        <f t="shared" si="14"/>
        <v>0</v>
      </c>
      <c r="AJ52" s="22">
        <f t="shared" si="14"/>
        <v>0</v>
      </c>
    </row>
    <row r="53" spans="2:36" s="1" customFormat="1" ht="15.75" x14ac:dyDescent="0.25">
      <c r="B53" s="26" t="s">
        <v>91</v>
      </c>
      <c r="C53" s="26"/>
      <c r="D53" s="26"/>
      <c r="E53" s="243"/>
      <c r="F53" s="21">
        <f t="shared" ref="F53:AJ53" si="15">SUM(F51:F52)</f>
        <v>-2666978.3572946326</v>
      </c>
      <c r="G53" s="21">
        <f t="shared" si="15"/>
        <v>359807.15292467305</v>
      </c>
      <c r="H53" s="21">
        <f t="shared" si="15"/>
        <v>411624.04760529689</v>
      </c>
      <c r="I53" s="21">
        <f t="shared" si="15"/>
        <v>294280.94497751264</v>
      </c>
      <c r="J53" s="21">
        <f t="shared" si="15"/>
        <v>382081.99318056367</v>
      </c>
      <c r="K53" s="21">
        <f t="shared" si="15"/>
        <v>392590.40943394555</v>
      </c>
      <c r="L53" s="21">
        <f t="shared" si="15"/>
        <v>321067.23116599827</v>
      </c>
      <c r="M53" s="21">
        <f t="shared" si="15"/>
        <v>414280.47300009837</v>
      </c>
      <c r="N53" s="21">
        <f t="shared" si="15"/>
        <v>339895.94204745092</v>
      </c>
      <c r="O53" s="21">
        <f t="shared" si="15"/>
        <v>436905.4372663601</v>
      </c>
      <c r="P53" s="21">
        <f t="shared" si="15"/>
        <v>295240.51631027111</v>
      </c>
      <c r="Q53" s="21">
        <f t="shared" si="15"/>
        <v>464949.27332874178</v>
      </c>
      <c r="R53" s="21">
        <f t="shared" si="15"/>
        <v>617816.73670438246</v>
      </c>
      <c r="S53" s="21">
        <f t="shared" si="15"/>
        <v>473629.56434120791</v>
      </c>
      <c r="T53" s="21">
        <f t="shared" si="15"/>
        <v>579476.04841703386</v>
      </c>
      <c r="U53" s="21">
        <f t="shared" si="15"/>
        <v>591065.56938537443</v>
      </c>
      <c r="V53" s="21">
        <f t="shared" si="15"/>
        <v>502619.48271540459</v>
      </c>
      <c r="W53" s="21">
        <f t="shared" si="15"/>
        <v>614944.6183885436</v>
      </c>
      <c r="X53" s="21">
        <f t="shared" si="15"/>
        <v>522925.30981710687</v>
      </c>
      <c r="Y53" s="21">
        <f t="shared" si="15"/>
        <v>639788.38097144105</v>
      </c>
      <c r="Z53" s="21">
        <f t="shared" si="15"/>
        <v>506910.38285961928</v>
      </c>
      <c r="AA53" s="21">
        <f t="shared" si="15"/>
        <v>0</v>
      </c>
      <c r="AB53" s="21">
        <f t="shared" si="15"/>
        <v>0</v>
      </c>
      <c r="AC53" s="21">
        <f t="shared" si="15"/>
        <v>0</v>
      </c>
      <c r="AD53" s="21">
        <f t="shared" si="15"/>
        <v>0</v>
      </c>
      <c r="AE53" s="21">
        <f t="shared" si="15"/>
        <v>0</v>
      </c>
      <c r="AF53" s="21">
        <f t="shared" si="15"/>
        <v>0</v>
      </c>
      <c r="AG53" s="21">
        <f t="shared" si="15"/>
        <v>0</v>
      </c>
      <c r="AH53" s="21">
        <f t="shared" si="15"/>
        <v>0</v>
      </c>
      <c r="AI53" s="21">
        <f t="shared" si="15"/>
        <v>0</v>
      </c>
      <c r="AJ53" s="21">
        <f t="shared" si="15"/>
        <v>0</v>
      </c>
    </row>
    <row r="54" spans="2:36" s="1" customFormat="1" x14ac:dyDescent="0.2">
      <c r="B54" s="27" t="s">
        <v>53</v>
      </c>
      <c r="C54" s="27"/>
      <c r="D54" s="27"/>
      <c r="E54" s="21"/>
      <c r="F54" s="49"/>
      <c r="G54" s="398">
        <f>IF(ISERROR(IRR($F53:G53)),"NA",IRR($F53:G53))</f>
        <v>-0.8650880866953643</v>
      </c>
      <c r="H54" s="398">
        <f>IF(ISERROR(IRR($F53:H53)),"NA",IRR($F53:H53))</f>
        <v>-0.53393234764464703</v>
      </c>
      <c r="I54" s="398">
        <f>IF(ISERROR(IRR($F53:I53)),"NA",IRR($F53:I53))</f>
        <v>-0.3575318442353872</v>
      </c>
      <c r="J54" s="398">
        <f>IF(ISERROR(IRR($F53:J53)),"NA",IRR($F53:J53))</f>
        <v>-0.2072534420372758</v>
      </c>
      <c r="K54" s="398">
        <f>IF(ISERROR(IRR($F53:K53)),"NA",IRR($F53:K53))</f>
        <v>-0.11139180800844606</v>
      </c>
      <c r="L54" s="398">
        <f>IF(ISERROR(IRR($F53:L53)),"NA",IRR($F53:L53))</f>
        <v>-5.7521039656885375E-2</v>
      </c>
      <c r="M54" s="398">
        <f>IF(ISERROR(IRR($F53:M53)),"NA",IRR($F53:M53))</f>
        <v>-8.5609774009034467E-3</v>
      </c>
      <c r="N54" s="398">
        <f>IF(ISERROR(IRR($F53:N53)),"NA",IRR($F53:N53))</f>
        <v>2.027346650683004E-2</v>
      </c>
      <c r="O54" s="398">
        <f>IF(ISERROR(IRR($F53:O53)),"NA",IRR($F53:O53))</f>
        <v>4.7579930051064645E-2</v>
      </c>
      <c r="P54" s="398">
        <f>IF(ISERROR(IRR($F53:P53)),"NA",IRR($F53:P53))</f>
        <v>6.1622339194240316E-2</v>
      </c>
      <c r="Q54" s="398">
        <f>IF(ISERROR(IRR($F53:Q53)),"NA",IRR($F53:Q53))</f>
        <v>7.8714636337382959E-2</v>
      </c>
      <c r="R54" s="398">
        <f>IF(ISERROR(IRR($F53:R53)),"NA",IRR($F53:R53))</f>
        <v>9.5418068118295229E-2</v>
      </c>
      <c r="S54" s="398">
        <f>IF(ISERROR(IRR($F53:S53)),"NA",IRR($F53:S53))</f>
        <v>0.10507867469106702</v>
      </c>
      <c r="T54" s="398">
        <f>IF(ISERROR(IRR($F53:T53)),"NA",IRR($F53:T53))</f>
        <v>0.11428025167062583</v>
      </c>
      <c r="U54" s="398">
        <f>IF(ISERROR(IRR($F53:U53)),"NA",IRR($F53:U53))</f>
        <v>0.1215958389209324</v>
      </c>
      <c r="V54" s="398">
        <f>IF(ISERROR(IRR($F53:V53)),"NA",IRR($F53:V53))</f>
        <v>0.12655487101355778</v>
      </c>
      <c r="W54" s="398">
        <f>IF(ISERROR(IRR($F53:W53)),"NA",IRR($F53:W53))</f>
        <v>0.13144122962013771</v>
      </c>
      <c r="X54" s="398">
        <f>IF(ISERROR(IRR($F53:X53)),"NA",IRR($F53:X53))</f>
        <v>0.13481013290635269</v>
      </c>
      <c r="Y54" s="398">
        <f>IF(ISERROR(IRR($F53:Y53)),"NA",IRR($F53:Y53))</f>
        <v>0.13817761181894705</v>
      </c>
      <c r="Z54" s="398">
        <f>IF(ISERROR(IRR($F53:Z53)),"NA",IRR($F53:Z53))</f>
        <v>0.1403727660493499</v>
      </c>
      <c r="AA54" s="398">
        <f>IF(ISERROR(IRR($F53:AA53)),"NA",IRR($F53:AA53))</f>
        <v>0.1403727660493499</v>
      </c>
      <c r="AB54" s="398">
        <f>IF(ISERROR(IRR($F53:AB53)),"NA",IRR($F53:AB53))</f>
        <v>0.1403727660493499</v>
      </c>
      <c r="AC54" s="398">
        <f>IF(ISERROR(IRR($F53:AC53)),"NA",IRR($F53:AC53))</f>
        <v>0.1403727660493499</v>
      </c>
      <c r="AD54" s="398">
        <f>IF(ISERROR(IRR($F53:AD53)),"NA",IRR($F53:AD53))</f>
        <v>0.1403727660493499</v>
      </c>
      <c r="AE54" s="398">
        <f>IF(ISERROR(IRR($F53:AE53)),"NA",IRR($F53:AE53))</f>
        <v>0.1403727660493499</v>
      </c>
      <c r="AF54" s="398">
        <f>IF(ISERROR(IRR($F53:AF53)),"NA",IRR($F53:AF53))</f>
        <v>0.1403727660493499</v>
      </c>
      <c r="AG54" s="398">
        <f>IF(ISERROR(IRR($F53:AG53)),"NA",IRR($F53:AG53))</f>
        <v>0.1403727660493499</v>
      </c>
      <c r="AH54" s="398">
        <f>IF(ISERROR(IRR($F53:AH53)),"NA",IRR($F53:AH53))</f>
        <v>0.1403727660493499</v>
      </c>
      <c r="AI54" s="398">
        <f>IF(ISERROR(IRR($F53:AI53)),"NA",IRR($F53:AI53))</f>
        <v>0.1403727660493499</v>
      </c>
      <c r="AJ54" s="398">
        <f>IF(ISERROR(IRR($F53:AJ53)),"NA",IRR($F53:AJ53))</f>
        <v>0.1403727660493499</v>
      </c>
    </row>
    <row r="55" spans="2:36" s="1" customFormat="1" x14ac:dyDescent="0.2">
      <c r="B55" s="27"/>
      <c r="C55" s="27"/>
      <c r="D55" s="27"/>
      <c r="E55" s="21"/>
      <c r="F55" s="49"/>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row>
    <row r="56" spans="2:36" s="1" customFormat="1" x14ac:dyDescent="0.2">
      <c r="B56" s="235" t="s">
        <v>116</v>
      </c>
      <c r="C56" s="235"/>
      <c r="D56" s="235"/>
      <c r="E56" s="20"/>
      <c r="F56" s="221"/>
      <c r="G56" s="22">
        <f t="shared" ref="G56:AJ56" ca="1" si="16">-G180</f>
        <v>-538794.76455034665</v>
      </c>
      <c r="H56" s="22">
        <f t="shared" ca="1" si="16"/>
        <v>-901885.33346440294</v>
      </c>
      <c r="I56" s="22">
        <f t="shared" ca="1" si="16"/>
        <v>-626241.67945996451</v>
      </c>
      <c r="J56" s="22">
        <f t="shared" ca="1" si="16"/>
        <v>-443240.52829880954</v>
      </c>
      <c r="K56" s="22">
        <f t="shared" ca="1" si="16"/>
        <v>-355869.30163598631</v>
      </c>
      <c r="L56" s="22">
        <f t="shared" ca="1" si="16"/>
        <v>-292964.59623145848</v>
      </c>
      <c r="M56" s="22">
        <f t="shared" ca="1" si="16"/>
        <v>-238881.31064381058</v>
      </c>
      <c r="N56" s="22">
        <f t="shared" ca="1" si="16"/>
        <v>-133074.26338734501</v>
      </c>
      <c r="O56" s="22">
        <f t="shared" ca="1" si="16"/>
        <v>-47869.201655679062</v>
      </c>
      <c r="P56" s="22">
        <f t="shared" ca="1" si="16"/>
        <v>-67580.870047645803</v>
      </c>
      <c r="Q56" s="22">
        <f t="shared" ca="1" si="16"/>
        <v>-87717.199886804563</v>
      </c>
      <c r="R56" s="22">
        <f t="shared" ca="1" si="16"/>
        <v>-78984.1816183185</v>
      </c>
      <c r="S56" s="22">
        <f t="shared" ca="1" si="16"/>
        <v>-57046.400584492963</v>
      </c>
      <c r="T56" s="22">
        <f t="shared" ca="1" si="16"/>
        <v>-68381.521438667318</v>
      </c>
      <c r="U56" s="22">
        <f t="shared" ca="1" si="16"/>
        <v>-47457.986906977305</v>
      </c>
      <c r="V56" s="22">
        <f t="shared" ca="1" si="16"/>
        <v>-40534.974275704284</v>
      </c>
      <c r="W56" s="22">
        <f t="shared" ca="1" si="16"/>
        <v>-52570.046222451434</v>
      </c>
      <c r="X56" s="22">
        <f t="shared" ca="1" si="16"/>
        <v>-41345.13485201032</v>
      </c>
      <c r="Y56" s="22">
        <f t="shared" ca="1" si="16"/>
        <v>-53866.303144541096</v>
      </c>
      <c r="Z56" s="22">
        <f t="shared" ca="1" si="16"/>
        <v>-591177.73944304127</v>
      </c>
      <c r="AA56" s="22">
        <f t="shared" si="16"/>
        <v>0</v>
      </c>
      <c r="AB56" s="22">
        <f t="shared" si="16"/>
        <v>0</v>
      </c>
      <c r="AC56" s="22">
        <f t="shared" si="16"/>
        <v>0</v>
      </c>
      <c r="AD56" s="22">
        <f t="shared" si="16"/>
        <v>0</v>
      </c>
      <c r="AE56" s="22">
        <f t="shared" si="16"/>
        <v>0</v>
      </c>
      <c r="AF56" s="22">
        <f t="shared" si="16"/>
        <v>0</v>
      </c>
      <c r="AG56" s="22">
        <f t="shared" si="16"/>
        <v>0</v>
      </c>
      <c r="AH56" s="22">
        <f t="shared" si="16"/>
        <v>0</v>
      </c>
      <c r="AI56" s="22">
        <f t="shared" si="16"/>
        <v>0</v>
      </c>
      <c r="AJ56" s="22">
        <f t="shared" si="16"/>
        <v>0</v>
      </c>
    </row>
    <row r="57" spans="2:36" s="1" customFormat="1" ht="15.75" x14ac:dyDescent="0.25">
      <c r="B57" s="17" t="s">
        <v>186</v>
      </c>
      <c r="C57" s="17"/>
      <c r="D57" s="17"/>
      <c r="F57" s="50"/>
      <c r="G57" s="21">
        <f ca="1">IF('Financial Inputs'!$P$62="No",0,(G$43+G$56))</f>
        <v>-118094.39117634285</v>
      </c>
      <c r="H57" s="21">
        <f ca="1">IF('Financial Inputs'!$P$62="No",0,(H$43+H$56))</f>
        <v>-424496.60777382884</v>
      </c>
      <c r="I57" s="21">
        <f ca="1">IF('Financial Inputs'!$P$62="No",0,(I$43+I$56))</f>
        <v>-183424.92224661907</v>
      </c>
      <c r="J57" s="21">
        <f ca="1">IF('Financial Inputs'!$P$62="No",0,(J$43+J$56))</f>
        <v>15549.385400421452</v>
      </c>
      <c r="K57" s="21">
        <f ca="1">IF('Financial Inputs'!$P$62="No",0,(K$43+K$56))</f>
        <v>119565.66195811995</v>
      </c>
      <c r="L57" s="21">
        <f ca="1">IF('Financial Inputs'!$P$62="No",0,(L$43+L$56))</f>
        <v>199828.94295703451</v>
      </c>
      <c r="M57" s="21">
        <f ca="1">IF('Financial Inputs'!$P$62="No",0,(M$43+M$56))</f>
        <v>272029.05032869929</v>
      </c>
      <c r="N57" s="21">
        <f ca="1">IF('Financial Inputs'!$P$62="No",0,(N$43+N$56))</f>
        <v>396759.2164568241</v>
      </c>
      <c r="O57" s="21">
        <f ca="1">IF('Financial Inputs'!$P$62="No",0,(O$43+O$56))</f>
        <v>501745.33694170183</v>
      </c>
      <c r="P57" s="21">
        <f ca="1">IF('Financial Inputs'!$P$62="No",0,(P$43+P$56))</f>
        <v>502728.18418245955</v>
      </c>
      <c r="Q57" s="21">
        <f ca="1">IF('Financial Inputs'!$P$62="No",0,(Q$43+Q$56))</f>
        <v>468047.34508425591</v>
      </c>
      <c r="R57" s="21">
        <f ca="1">IF('Financial Inputs'!$P$62="No",0,(R$43+R$56))</f>
        <v>538832.55508606392</v>
      </c>
      <c r="S57" s="21">
        <f ca="1">IF('Financial Inputs'!$P$62="No",0,(S$43+S$56))</f>
        <v>511067.37237338338</v>
      </c>
      <c r="T57" s="21">
        <f ca="1">IF('Financial Inputs'!$P$62="No",0,(T$43+T$56))</f>
        <v>511094.52697836654</v>
      </c>
      <c r="U57" s="21">
        <f ca="1">IF('Financial Inputs'!$P$62="No",0,(U$43+U$56))</f>
        <v>543607.58247839718</v>
      </c>
      <c r="V57" s="21">
        <f ca="1">IF('Financial Inputs'!$P$62="No",0,(V$43+V$56))</f>
        <v>562351.90649737779</v>
      </c>
      <c r="W57" s="21">
        <f ca="1">IF('Financial Inputs'!$P$62="No",0,(W$43+W$56))</f>
        <v>562374.57216609223</v>
      </c>
      <c r="X57" s="21">
        <f ca="1">IF('Financial Inputs'!$P$62="No",0,(X$43+X$56))</f>
        <v>585898.37590430421</v>
      </c>
      <c r="Y57" s="21">
        <f ca="1">IF('Financial Inputs'!$P$62="No",0,(Y$43+Y$56))</f>
        <v>585922.07782689994</v>
      </c>
      <c r="Z57" s="21">
        <f ca="1">IF('Financial Inputs'!$P$62="No",0,(Z$43+Z$56))</f>
        <v>61406.409147828235</v>
      </c>
      <c r="AA57" s="21">
        <f>IF('Financial Inputs'!$P$62="No",0,(AA$43+AA$56))</f>
        <v>0</v>
      </c>
      <c r="AB57" s="21">
        <f>IF('Financial Inputs'!$P$62="No",0,(AB$43+AB$56))</f>
        <v>0</v>
      </c>
      <c r="AC57" s="21">
        <f>IF('Financial Inputs'!$P$62="No",0,(AC$43+AC$56))</f>
        <v>0</v>
      </c>
      <c r="AD57" s="21">
        <f>IF('Financial Inputs'!$P$62="No",0,(AD$43+AD$56))</f>
        <v>0</v>
      </c>
      <c r="AE57" s="21">
        <f>IF('Financial Inputs'!$P$62="No",0,(AE$43+AE$56))</f>
        <v>0</v>
      </c>
      <c r="AF57" s="21">
        <f>IF('Financial Inputs'!$P$62="No",0,(AF$43+AF$56))</f>
        <v>0</v>
      </c>
      <c r="AG57" s="21">
        <f>IF('Financial Inputs'!$P$62="No",0,(AG$43+AG$56))</f>
        <v>0</v>
      </c>
      <c r="AH57" s="21">
        <f>IF('Financial Inputs'!$P$62="No",0,(AH$43+AH$56))</f>
        <v>0</v>
      </c>
      <c r="AI57" s="21">
        <f>IF('Financial Inputs'!$P$62="No",0,(AI$43+AI$56))</f>
        <v>0</v>
      </c>
      <c r="AJ57" s="21">
        <f>IF('Financial Inputs'!$P$62="No",0,(AJ$43+AJ$56))</f>
        <v>0</v>
      </c>
    </row>
    <row r="58" spans="2:36" s="1" customFormat="1" ht="15.75" x14ac:dyDescent="0.25">
      <c r="B58" s="26"/>
      <c r="C58" s="26"/>
      <c r="D58" s="26"/>
      <c r="F58" s="50"/>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row>
    <row r="59" spans="2:36" s="1" customFormat="1" ht="15.75" x14ac:dyDescent="0.25">
      <c r="B59" s="17" t="s">
        <v>187</v>
      </c>
      <c r="C59" s="17"/>
      <c r="D59" s="17"/>
      <c r="F59" s="222" t="str">
        <f>'Financial Inputs'!P64</f>
        <v>As Generated</v>
      </c>
      <c r="G59" s="21">
        <f t="shared" ref="G59:AJ59" ca="1" si="17">IF($F$59="as generated",G$57,G$195)</f>
        <v>-118094.39117634285</v>
      </c>
      <c r="H59" s="21">
        <f t="shared" ca="1" si="17"/>
        <v>-424496.60777382884</v>
      </c>
      <c r="I59" s="21">
        <f t="shared" ca="1" si="17"/>
        <v>-183424.92224661907</v>
      </c>
      <c r="J59" s="21">
        <f t="shared" ca="1" si="17"/>
        <v>15549.385400421452</v>
      </c>
      <c r="K59" s="21">
        <f t="shared" ca="1" si="17"/>
        <v>119565.66195811995</v>
      </c>
      <c r="L59" s="21">
        <f t="shared" ca="1" si="17"/>
        <v>199828.94295703451</v>
      </c>
      <c r="M59" s="21">
        <f t="shared" ca="1" si="17"/>
        <v>272029.05032869929</v>
      </c>
      <c r="N59" s="21">
        <f t="shared" ca="1" si="17"/>
        <v>396759.2164568241</v>
      </c>
      <c r="O59" s="21">
        <f t="shared" ca="1" si="17"/>
        <v>501745.33694170183</v>
      </c>
      <c r="P59" s="21">
        <f t="shared" ca="1" si="17"/>
        <v>502728.18418245955</v>
      </c>
      <c r="Q59" s="21">
        <f t="shared" ca="1" si="17"/>
        <v>468047.34508425591</v>
      </c>
      <c r="R59" s="21">
        <f t="shared" ca="1" si="17"/>
        <v>538832.55508606392</v>
      </c>
      <c r="S59" s="21">
        <f t="shared" ca="1" si="17"/>
        <v>511067.37237338338</v>
      </c>
      <c r="T59" s="21">
        <f t="shared" ca="1" si="17"/>
        <v>511094.52697836654</v>
      </c>
      <c r="U59" s="21">
        <f t="shared" ca="1" si="17"/>
        <v>543607.58247839718</v>
      </c>
      <c r="V59" s="21">
        <f t="shared" ca="1" si="17"/>
        <v>562351.90649737779</v>
      </c>
      <c r="W59" s="21">
        <f t="shared" ca="1" si="17"/>
        <v>562374.57216609223</v>
      </c>
      <c r="X59" s="21">
        <f t="shared" ca="1" si="17"/>
        <v>585898.37590430421</v>
      </c>
      <c r="Y59" s="21">
        <f t="shared" ca="1" si="17"/>
        <v>585922.07782689994</v>
      </c>
      <c r="Z59" s="21">
        <f t="shared" ca="1" si="17"/>
        <v>61406.409147828235</v>
      </c>
      <c r="AA59" s="21">
        <f t="shared" si="17"/>
        <v>0</v>
      </c>
      <c r="AB59" s="21">
        <f t="shared" si="17"/>
        <v>0</v>
      </c>
      <c r="AC59" s="21">
        <f t="shared" si="17"/>
        <v>0</v>
      </c>
      <c r="AD59" s="21">
        <f t="shared" si="17"/>
        <v>0</v>
      </c>
      <c r="AE59" s="21">
        <f t="shared" si="17"/>
        <v>0</v>
      </c>
      <c r="AF59" s="21">
        <f t="shared" si="17"/>
        <v>0</v>
      </c>
      <c r="AG59" s="21">
        <f t="shared" si="17"/>
        <v>0</v>
      </c>
      <c r="AH59" s="21">
        <f t="shared" si="17"/>
        <v>0</v>
      </c>
      <c r="AI59" s="21">
        <f t="shared" si="17"/>
        <v>0</v>
      </c>
      <c r="AJ59" s="21">
        <f t="shared" si="17"/>
        <v>0</v>
      </c>
    </row>
    <row r="60" spans="2:36" s="1" customFormat="1" ht="15.75" x14ac:dyDescent="0.25">
      <c r="B60" s="17" t="s">
        <v>188</v>
      </c>
      <c r="C60" s="17"/>
      <c r="D60" s="17"/>
      <c r="F60" s="222" t="str">
        <f>'Financial Inputs'!P66</f>
        <v>As Generated</v>
      </c>
      <c r="G60" s="21">
        <f t="shared" ref="G60:AJ60" ca="1" si="18">IF($F$60="as generated",G$57,G$203)</f>
        <v>-118094.39117634285</v>
      </c>
      <c r="H60" s="21">
        <f t="shared" ca="1" si="18"/>
        <v>-424496.60777382884</v>
      </c>
      <c r="I60" s="21">
        <f t="shared" ca="1" si="18"/>
        <v>-183424.92224661907</v>
      </c>
      <c r="J60" s="21">
        <f t="shared" ca="1" si="18"/>
        <v>15549.385400421452</v>
      </c>
      <c r="K60" s="21">
        <f t="shared" ca="1" si="18"/>
        <v>119565.66195811995</v>
      </c>
      <c r="L60" s="21">
        <f t="shared" ca="1" si="18"/>
        <v>199828.94295703451</v>
      </c>
      <c r="M60" s="21">
        <f t="shared" ca="1" si="18"/>
        <v>272029.05032869929</v>
      </c>
      <c r="N60" s="21">
        <f t="shared" ca="1" si="18"/>
        <v>396759.2164568241</v>
      </c>
      <c r="O60" s="21">
        <f t="shared" ca="1" si="18"/>
        <v>501745.33694170183</v>
      </c>
      <c r="P60" s="21">
        <f t="shared" ca="1" si="18"/>
        <v>502728.18418245955</v>
      </c>
      <c r="Q60" s="21">
        <f t="shared" ca="1" si="18"/>
        <v>468047.34508425591</v>
      </c>
      <c r="R60" s="21">
        <f t="shared" ca="1" si="18"/>
        <v>538832.55508606392</v>
      </c>
      <c r="S60" s="21">
        <f t="shared" ca="1" si="18"/>
        <v>511067.37237338338</v>
      </c>
      <c r="T60" s="21">
        <f t="shared" ca="1" si="18"/>
        <v>511094.52697836654</v>
      </c>
      <c r="U60" s="21">
        <f t="shared" ca="1" si="18"/>
        <v>543607.58247839718</v>
      </c>
      <c r="V60" s="21">
        <f t="shared" ca="1" si="18"/>
        <v>562351.90649737779</v>
      </c>
      <c r="W60" s="21">
        <f t="shared" ca="1" si="18"/>
        <v>562374.57216609223</v>
      </c>
      <c r="X60" s="21">
        <f t="shared" ca="1" si="18"/>
        <v>585898.37590430421</v>
      </c>
      <c r="Y60" s="21">
        <f t="shared" ca="1" si="18"/>
        <v>585922.07782689994</v>
      </c>
      <c r="Z60" s="21">
        <f t="shared" ca="1" si="18"/>
        <v>61406.409147828235</v>
      </c>
      <c r="AA60" s="21">
        <f t="shared" si="18"/>
        <v>0</v>
      </c>
      <c r="AB60" s="21">
        <f t="shared" si="18"/>
        <v>0</v>
      </c>
      <c r="AC60" s="21">
        <f t="shared" si="18"/>
        <v>0</v>
      </c>
      <c r="AD60" s="21">
        <f t="shared" si="18"/>
        <v>0</v>
      </c>
      <c r="AE60" s="21">
        <f t="shared" si="18"/>
        <v>0</v>
      </c>
      <c r="AF60" s="21">
        <f t="shared" si="18"/>
        <v>0</v>
      </c>
      <c r="AG60" s="21">
        <f t="shared" si="18"/>
        <v>0</v>
      </c>
      <c r="AH60" s="21">
        <f t="shared" si="18"/>
        <v>0</v>
      </c>
      <c r="AI60" s="21">
        <f t="shared" si="18"/>
        <v>0</v>
      </c>
      <c r="AJ60" s="21">
        <f t="shared" si="18"/>
        <v>0</v>
      </c>
    </row>
    <row r="61" spans="2:36" s="1" customFormat="1" x14ac:dyDescent="0.2">
      <c r="B61" s="220"/>
      <c r="C61" s="220"/>
      <c r="D61" s="220"/>
      <c r="F61" s="50"/>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row>
    <row r="62" spans="2:36" s="1" customFormat="1" x14ac:dyDescent="0.2">
      <c r="B62" s="1" t="s">
        <v>106</v>
      </c>
      <c r="E62" s="215"/>
      <c r="G62" s="21">
        <f ca="1">IF('Financial Inputs'!$P$62="No",0,-(G$59+G$63)*'Financial Inputs'!$P$63)</f>
        <v>38439.724327899596</v>
      </c>
      <c r="H62" s="21">
        <f ca="1">IF('Financial Inputs'!$P$62="No",0,-(H$59+H$63)*'Financial Inputs'!$P$63)</f>
        <v>138173.64583038128</v>
      </c>
      <c r="I62" s="21">
        <f ca="1">IF('Financial Inputs'!$P$62="No",0,-(I$59+I$63)*'Financial Inputs'!$P$63)</f>
        <v>59704.812191274505</v>
      </c>
      <c r="J62" s="21">
        <f ca="1">IF('Financial Inputs'!$P$62="No",0,-(J$59+J$63)*'Financial Inputs'!$P$63)</f>
        <v>-5061.3249478371818</v>
      </c>
      <c r="K62" s="21">
        <f ca="1">IF('Financial Inputs'!$P$62="No",0,-(K$59+K$63)*'Financial Inputs'!$P$63)</f>
        <v>-38918.622967368043</v>
      </c>
      <c r="L62" s="21">
        <f ca="1">IF('Financial Inputs'!$P$62="No",0,-(L$59+L$63)*'Financial Inputs'!$P$63)</f>
        <v>-65044.320932514733</v>
      </c>
      <c r="M62" s="21">
        <f ca="1">IF('Financial Inputs'!$P$62="No",0,-(M$59+M$63)*'Financial Inputs'!$P$63)</f>
        <v>-88545.455881991613</v>
      </c>
      <c r="N62" s="21">
        <f ca="1">IF('Financial Inputs'!$P$62="No",0,-(N$59+N$63)*'Financial Inputs'!$P$63)</f>
        <v>-129145.12495669625</v>
      </c>
      <c r="O62" s="21">
        <f ca="1">IF('Financial Inputs'!$P$62="No",0,-(O$59+O$63)*'Financial Inputs'!$P$63)</f>
        <v>-163318.10717452393</v>
      </c>
      <c r="P62" s="21">
        <f ca="1">IF('Financial Inputs'!$P$62="No",0,-(P$59+P$63)*'Financial Inputs'!$P$63)</f>
        <v>-163638.02395139058</v>
      </c>
      <c r="Q62" s="21">
        <f ca="1">IF('Financial Inputs'!$P$62="No",0,-(Q$59+Q$63)*'Financial Inputs'!$P$63)</f>
        <v>-152349.41082492529</v>
      </c>
      <c r="R62" s="21">
        <f ca="1">IF('Financial Inputs'!$P$62="No",0,-(R$59+R$63)*'Financial Inputs'!$P$63)</f>
        <v>-175389.99668051378</v>
      </c>
      <c r="S62" s="21">
        <f ca="1">IF('Financial Inputs'!$P$62="No",0,-(S$59+S$63)*'Financial Inputs'!$P$63)</f>
        <v>-166352.42970753627</v>
      </c>
      <c r="T62" s="21">
        <f ca="1">IF('Financial Inputs'!$P$62="No",0,-(T$59+T$63)*'Financial Inputs'!$P$63)</f>
        <v>-166361.26853145831</v>
      </c>
      <c r="U62" s="21">
        <f ca="1">IF('Financial Inputs'!$P$62="No",0,-(U$59+U$63)*'Financial Inputs'!$P$63)</f>
        <v>-176944.26809671827</v>
      </c>
      <c r="V62" s="21">
        <f ca="1">IF('Financial Inputs'!$P$62="No",0,-(V$59+V$63)*'Financial Inputs'!$P$63)</f>
        <v>-183045.54556489646</v>
      </c>
      <c r="W62" s="21">
        <f ca="1">IF('Financial Inputs'!$P$62="No",0,-(W$59+W$63)*'Financial Inputs'!$P$63)</f>
        <v>-183052.92324006301</v>
      </c>
      <c r="X62" s="21">
        <f ca="1">IF('Financial Inputs'!$P$62="No",0,-(X$59+X$63)*'Financial Inputs'!$P$63)</f>
        <v>-190709.921356851</v>
      </c>
      <c r="Y62" s="21">
        <f ca="1">IF('Financial Inputs'!$P$62="No",0,-(Y$59+Y$63)*'Financial Inputs'!$P$63)</f>
        <v>-190717.63633265594</v>
      </c>
      <c r="Z62" s="21">
        <f ca="1">IF('Financial Inputs'!$P$62="No",0,-(Z$59+Z$63)*'Financial Inputs'!$P$63)</f>
        <v>-19987.786177618091</v>
      </c>
      <c r="AA62" s="21">
        <f>IF('Financial Inputs'!$P$62="No",0,-(AA$59+AA$63)*'Financial Inputs'!$P$63)</f>
        <v>0</v>
      </c>
      <c r="AB62" s="21">
        <f>IF('Financial Inputs'!$P$62="No",0,-(AB$59+AB$63)*'Financial Inputs'!$P$63)</f>
        <v>0</v>
      </c>
      <c r="AC62" s="21">
        <f>IF('Financial Inputs'!$P$62="No",0,-(AC$59+AC$63)*'Financial Inputs'!$P$63)</f>
        <v>0</v>
      </c>
      <c r="AD62" s="21">
        <f>IF('Financial Inputs'!$P$62="No",0,-(AD$59+AD$63)*'Financial Inputs'!$P$63)</f>
        <v>0</v>
      </c>
      <c r="AE62" s="21">
        <f>IF('Financial Inputs'!$P$62="No",0,-(AE$59+AE$63)*'Financial Inputs'!$P$63)</f>
        <v>0</v>
      </c>
      <c r="AF62" s="21">
        <f>IF('Financial Inputs'!$P$62="No",0,-(AF$59+AF$63)*'Financial Inputs'!$P$63)</f>
        <v>0</v>
      </c>
      <c r="AG62" s="21">
        <f>IF('Financial Inputs'!$P$62="No",0,-(AG$59+AG$63)*'Financial Inputs'!$P$63)</f>
        <v>0</v>
      </c>
      <c r="AH62" s="21">
        <f>IF('Financial Inputs'!$P$62="No",0,-(AH$59+AH$63)*'Financial Inputs'!$P$63)</f>
        <v>0</v>
      </c>
      <c r="AI62" s="21">
        <f>IF('Financial Inputs'!$P$62="No",0,-(AI$59+AI$63)*'Financial Inputs'!$P$63)</f>
        <v>0</v>
      </c>
      <c r="AJ62" s="21">
        <f>IF('Financial Inputs'!$P$62="No",0,-(AJ$59+AJ$63)*'Financial Inputs'!$P$63)</f>
        <v>0</v>
      </c>
    </row>
    <row r="63" spans="2:36" s="1" customFormat="1" x14ac:dyDescent="0.2">
      <c r="B63" s="1" t="s">
        <v>134</v>
      </c>
      <c r="G63" s="21">
        <f ca="1">IF('Financial Inputs'!$P$62="No",0,-(G$60-IF(AND('Financial Inputs'!$P$37="Cash",'Financial Inputs'!$P$39="No"),'Detailed Cash Flow'!G$23,0))*'Financial Inputs'!$P$65)</f>
        <v>8266.6073823440001</v>
      </c>
      <c r="H63" s="21">
        <f ca="1">IF('Financial Inputs'!$P$62="No",0,-(H$60-IF(AND('Financial Inputs'!$P$37="Cash",'Financial Inputs'!$P$39="No"),'Detailed Cash Flow'!H$23,0))*'Financial Inputs'!$P$65)</f>
        <v>29714.762544168021</v>
      </c>
      <c r="I63" s="21">
        <f ca="1">IF('Financial Inputs'!$P$62="No",0,-(I$60-IF(AND('Financial Inputs'!$P$37="Cash",'Financial Inputs'!$P$39="No"),'Detailed Cash Flow'!I$23,0))*'Financial Inputs'!$P$65)</f>
        <v>12839.744557263337</v>
      </c>
      <c r="J63" s="21">
        <f ca="1">IF('Financial Inputs'!$P$62="No",0,-(J$60-IF(AND('Financial Inputs'!$P$37="Cash",'Financial Inputs'!$P$39="No"),'Detailed Cash Flow'!J$23,0))*'Financial Inputs'!$P$65)</f>
        <v>-1088.4569780295017</v>
      </c>
      <c r="K63" s="21">
        <f ca="1">IF('Financial Inputs'!$P$62="No",0,-(K$60-IF(AND('Financial Inputs'!$P$37="Cash",'Financial Inputs'!$P$39="No"),'Detailed Cash Flow'!K$23,0))*'Financial Inputs'!$P$65)</f>
        <v>-8369.5963370683967</v>
      </c>
      <c r="L63" s="21">
        <f ca="1">IF('Financial Inputs'!$P$62="No",0,-(L$60-IF(AND('Financial Inputs'!$P$37="Cash",'Financial Inputs'!$P$39="No"),'Detailed Cash Flow'!L$23,0))*'Financial Inputs'!$P$65)</f>
        <v>-13988.026006992417</v>
      </c>
      <c r="M63" s="21">
        <f ca="1">IF('Financial Inputs'!$P$62="No",0,-(M$60-IF(AND('Financial Inputs'!$P$37="Cash",'Financial Inputs'!$P$39="No"),'Detailed Cash Flow'!M$23,0))*'Financial Inputs'!$P$65)</f>
        <v>-19042.033523008951</v>
      </c>
      <c r="N63" s="21">
        <f ca="1">IF('Financial Inputs'!$P$62="No",0,-(N$60-IF(AND('Financial Inputs'!$P$37="Cash",'Financial Inputs'!$P$39="No"),'Detailed Cash Flow'!N$23,0))*'Financial Inputs'!$P$65)</f>
        <v>-27773.145151977689</v>
      </c>
      <c r="O63" s="21">
        <f ca="1">IF('Financial Inputs'!$P$62="No",0,-(O$60-IF(AND('Financial Inputs'!$P$37="Cash",'Financial Inputs'!$P$39="No"),'Detailed Cash Flow'!O$23,0))*'Financial Inputs'!$P$65)</f>
        <v>-35122.173585919132</v>
      </c>
      <c r="P63" s="21">
        <f ca="1">IF('Financial Inputs'!$P$62="No",0,-(P$60-IF(AND('Financial Inputs'!$P$37="Cash",'Financial Inputs'!$P$39="No"),'Detailed Cash Flow'!P$23,0))*'Financial Inputs'!$P$65)</f>
        <v>-35190.972892772174</v>
      </c>
      <c r="Q63" s="21">
        <f ca="1">IF('Financial Inputs'!$P$62="No",0,-(Q$60-IF(AND('Financial Inputs'!$P$37="Cash",'Financial Inputs'!$P$39="No"),'Detailed Cash Flow'!Q$23,0))*'Financial Inputs'!$P$65)</f>
        <v>-32763.314155897915</v>
      </c>
      <c r="R63" s="21">
        <f ca="1">IF('Financial Inputs'!$P$62="No",0,-(R$60-IF(AND('Financial Inputs'!$P$37="Cash",'Financial Inputs'!$P$39="No"),'Detailed Cash Flow'!R$23,0))*'Financial Inputs'!$P$65)</f>
        <v>-37718.278856024481</v>
      </c>
      <c r="S63" s="21">
        <f ca="1">IF('Financial Inputs'!$P$62="No",0,-(S$60-IF(AND('Financial Inputs'!$P$37="Cash",'Financial Inputs'!$P$39="No"),'Detailed Cash Flow'!S$23,0))*'Financial Inputs'!$P$65)</f>
        <v>-35774.71606613684</v>
      </c>
      <c r="T63" s="21">
        <f ca="1">IF('Financial Inputs'!$P$62="No",0,-(T$60-IF(AND('Financial Inputs'!$P$37="Cash",'Financial Inputs'!$P$39="No"),'Detailed Cash Flow'!T$23,0))*'Financial Inputs'!$P$65)</f>
        <v>-35776.61688848566</v>
      </c>
      <c r="U63" s="21">
        <f ca="1">IF('Financial Inputs'!$P$62="No",0,-(U$60-IF(AND('Financial Inputs'!$P$37="Cash",'Financial Inputs'!$P$39="No"),'Detailed Cash Flow'!U$23,0))*'Financial Inputs'!$P$65)</f>
        <v>-38052.530773487808</v>
      </c>
      <c r="V63" s="21">
        <f ca="1">IF('Financial Inputs'!$P$62="No",0,-(V$60-IF(AND('Financial Inputs'!$P$37="Cash",'Financial Inputs'!$P$39="No"),'Detailed Cash Flow'!V$23,0))*'Financial Inputs'!$P$65)</f>
        <v>-39364.633454816452</v>
      </c>
      <c r="W63" s="21">
        <f ca="1">IF('Financial Inputs'!$P$62="No",0,-(W$60-IF(AND('Financial Inputs'!$P$37="Cash",'Financial Inputs'!$P$39="No"),'Detailed Cash Flow'!W$23,0))*'Financial Inputs'!$P$65)</f>
        <v>-39366.220051626457</v>
      </c>
      <c r="X63" s="21">
        <f ca="1">IF('Financial Inputs'!$P$62="No",0,-(X$60-IF(AND('Financial Inputs'!$P$37="Cash",'Financial Inputs'!$P$39="No"),'Detailed Cash Flow'!X$23,0))*'Financial Inputs'!$P$65)</f>
        <v>-41012.8863133013</v>
      </c>
      <c r="Y63" s="21">
        <f ca="1">IF('Financial Inputs'!$P$62="No",0,-(Y$60-IF(AND('Financial Inputs'!$P$37="Cash",'Financial Inputs'!$P$39="No"),'Detailed Cash Flow'!Y$23,0))*'Financial Inputs'!$P$65)</f>
        <v>-41014.545447883</v>
      </c>
      <c r="Z63" s="21">
        <f ca="1">IF('Financial Inputs'!$P$62="No",0,-(Z$60-IF(AND('Financial Inputs'!$P$37="Cash",'Financial Inputs'!$P$39="No"),'Detailed Cash Flow'!Z$23,0))*'Financial Inputs'!$P$65)</f>
        <v>-4298.4486403479768</v>
      </c>
      <c r="AA63" s="21">
        <f>IF('Financial Inputs'!$P$62="No",0,-(AA$60-IF(AND('Financial Inputs'!$P$37="Cash",'Financial Inputs'!$P$39="No"),'Detailed Cash Flow'!AA$23,0))*'Financial Inputs'!$P$65)</f>
        <v>0</v>
      </c>
      <c r="AB63" s="21">
        <f>IF('Financial Inputs'!$P$62="No",0,-(AB$60-IF(AND('Financial Inputs'!$P$37="Cash",'Financial Inputs'!$P$39="No"),'Detailed Cash Flow'!AB$23,0))*'Financial Inputs'!$P$65)</f>
        <v>0</v>
      </c>
      <c r="AC63" s="21">
        <f>IF('Financial Inputs'!$P$62="No",0,-(AC$60-IF(AND('Financial Inputs'!$P$37="Cash",'Financial Inputs'!$P$39="No"),'Detailed Cash Flow'!AC$23,0))*'Financial Inputs'!$P$65)</f>
        <v>0</v>
      </c>
      <c r="AD63" s="21">
        <f>IF('Financial Inputs'!$P$62="No",0,-(AD$60-IF(AND('Financial Inputs'!$P$37="Cash",'Financial Inputs'!$P$39="No"),'Detailed Cash Flow'!AD$23,0))*'Financial Inputs'!$P$65)</f>
        <v>0</v>
      </c>
      <c r="AE63" s="21">
        <f>IF('Financial Inputs'!$P$62="No",0,-(AE$60-IF(AND('Financial Inputs'!$P$37="Cash",'Financial Inputs'!$P$39="No"),'Detailed Cash Flow'!AE$23,0))*'Financial Inputs'!$P$65)</f>
        <v>0</v>
      </c>
      <c r="AF63" s="21">
        <f>IF('Financial Inputs'!$P$62="No",0,-(AF$60-IF(AND('Financial Inputs'!$P$37="Cash",'Financial Inputs'!$P$39="No"),'Detailed Cash Flow'!AF$23,0))*'Financial Inputs'!$P$65)</f>
        <v>0</v>
      </c>
      <c r="AG63" s="21">
        <f>IF('Financial Inputs'!$P$62="No",0,-(AG$60-IF(AND('Financial Inputs'!$P$37="Cash",'Financial Inputs'!$P$39="No"),'Detailed Cash Flow'!AG$23,0))*'Financial Inputs'!$P$65)</f>
        <v>0</v>
      </c>
      <c r="AH63" s="21">
        <f>IF('Financial Inputs'!$P$62="No",0,-(AH$60-IF(AND('Financial Inputs'!$P$37="Cash",'Financial Inputs'!$P$39="No"),'Detailed Cash Flow'!AH$23,0))*'Financial Inputs'!$P$65)</f>
        <v>0</v>
      </c>
      <c r="AI63" s="21">
        <f>IF('Financial Inputs'!$P$62="No",0,-(AI$60-IF(AND('Financial Inputs'!$P$37="Cash",'Financial Inputs'!$P$39="No"),'Detailed Cash Flow'!AI$23,0))*'Financial Inputs'!$P$65)</f>
        <v>0</v>
      </c>
      <c r="AJ63" s="21">
        <f>IF('Financial Inputs'!$P$62="No",0,-(AJ$60-IF(AND('Financial Inputs'!$P$37="Cash",'Financial Inputs'!$P$39="No"),'Detailed Cash Flow'!AJ$23,0))*'Financial Inputs'!$P$65)</f>
        <v>0</v>
      </c>
    </row>
    <row r="64" spans="2:36" s="1" customFormat="1" x14ac:dyDescent="0.2">
      <c r="B64" s="1" t="s">
        <v>179</v>
      </c>
      <c r="E64" s="215"/>
      <c r="G64" s="21">
        <f>IF(AND('Financial Inputs'!$P$14="Cost-Based",'Financial Inputs'!$P$15="Cash Grant",G$2=1),'Financial Inputs'!$P$18,IF('Financial Inputs'!$P$64="as generated",'Detailed Cash Flow'!G$210,-G$217))</f>
        <v>32286.903498102605</v>
      </c>
      <c r="H64" s="21">
        <f>IF(AND('Financial Inputs'!$P$14="Cost-Based",'Financial Inputs'!$P$15="Cash Grant",H$2=1),'Financial Inputs'!$P$18,IF('Financial Inputs'!$P$64="as generated",'Detailed Cash Flow'!H$210,-H$217))</f>
        <v>32932.641568064653</v>
      </c>
      <c r="I64" s="21">
        <f>IF(AND('Financial Inputs'!$P$14="Cost-Based",'Financial Inputs'!$P$15="Cash Grant",I$2=1),'Financial Inputs'!$P$18,IF('Financial Inputs'!$P$64="as generated",'Detailed Cash Flow'!I$210,-I$217))</f>
        <v>33591.294399425948</v>
      </c>
      <c r="J64" s="21">
        <f>IF(AND('Financial Inputs'!$P$14="Cost-Based",'Financial Inputs'!$P$15="Cash Grant",J$2=1),'Financial Inputs'!$P$18,IF('Financial Inputs'!$P$64="as generated",'Detailed Cash Flow'!J$210,-J$217))</f>
        <v>34263.120287414466</v>
      </c>
      <c r="K64" s="21">
        <f>IF(AND('Financial Inputs'!$P$14="Cost-Based",'Financial Inputs'!$P$15="Cash Grant",K$2=1),'Financial Inputs'!$P$18,IF('Financial Inputs'!$P$64="as generated",'Detailed Cash Flow'!K$210,-K$217))</f>
        <v>34948.382693162755</v>
      </c>
      <c r="L64" s="21">
        <f>IF(AND('Financial Inputs'!$P$14="Cost-Based",'Financial Inputs'!$P$15="Cash Grant",L$2=1),'Financial Inputs'!$P$18,IF('Financial Inputs'!$P$64="as generated",'Detailed Cash Flow'!L$210,-L$217))</f>
        <v>35647.350347026018</v>
      </c>
      <c r="M64" s="21">
        <f>IF(AND('Financial Inputs'!$P$14="Cost-Based",'Financial Inputs'!$P$15="Cash Grant",M$2=1),'Financial Inputs'!$P$18,IF('Financial Inputs'!$P$64="as generated",'Detailed Cash Flow'!M$210,-M$217))</f>
        <v>36360.297353966533</v>
      </c>
      <c r="N64" s="21">
        <f>IF(AND('Financial Inputs'!$P$14="Cost-Based",'Financial Inputs'!$P$15="Cash Grant",N$2=1),'Financial Inputs'!$P$18,IF('Financial Inputs'!$P$64="as generated",'Detailed Cash Flow'!N$210,-N$217))</f>
        <v>37087.503301045865</v>
      </c>
      <c r="O64" s="21">
        <f>IF(AND('Financial Inputs'!$P$14="Cost-Based",'Financial Inputs'!$P$15="Cash Grant",O$2=1),'Financial Inputs'!$P$18,IF('Financial Inputs'!$P$64="as generated",'Detailed Cash Flow'!O$210,-O$217))</f>
        <v>37829.253367066791</v>
      </c>
      <c r="P64" s="21">
        <f>IF(AND('Financial Inputs'!$P$14="Cost-Based",'Financial Inputs'!$P$15="Cash Grant",P$2=1),'Financial Inputs'!$P$18,IF('Financial Inputs'!$P$64="as generated",'Detailed Cash Flow'!P$210,-P$217))</f>
        <v>38585.838434408121</v>
      </c>
      <c r="Q64" s="21">
        <f>IF(AND('Financial Inputs'!$P$14="Cost-Based",'Financial Inputs'!$P$15="Cash Grant",Q$2=1),'Financial Inputs'!$P$18,IF('Financial Inputs'!$P$64="as generated",'Detailed Cash Flow'!Q$210,-Q$217))</f>
        <v>0</v>
      </c>
      <c r="R64" s="21">
        <f>IF(AND('Financial Inputs'!$P$14="Cost-Based",'Financial Inputs'!$P$15="Cash Grant",R$2=1),'Financial Inputs'!$P$18,IF('Financial Inputs'!$P$64="as generated",'Detailed Cash Flow'!R$210,-R$217))</f>
        <v>0</v>
      </c>
      <c r="S64" s="21">
        <f>IF(AND('Financial Inputs'!$P$14="Cost-Based",'Financial Inputs'!$P$15="Cash Grant",S$2=1),'Financial Inputs'!$P$18,IF('Financial Inputs'!$P$64="as generated",'Detailed Cash Flow'!S$210,-S$217))</f>
        <v>0</v>
      </c>
      <c r="T64" s="21">
        <f>IF(AND('Financial Inputs'!$P$14="Cost-Based",'Financial Inputs'!$P$15="Cash Grant",T$2=1),'Financial Inputs'!$P$18,IF('Financial Inputs'!$P$64="as generated",'Detailed Cash Flow'!T$210,-T$217))</f>
        <v>0</v>
      </c>
      <c r="U64" s="21">
        <f>IF(AND('Financial Inputs'!$P$14="Cost-Based",'Financial Inputs'!$P$15="Cash Grant",U$2=1),'Financial Inputs'!$P$18,IF('Financial Inputs'!$P$64="as generated",'Detailed Cash Flow'!U$210,-U$217))</f>
        <v>0</v>
      </c>
      <c r="V64" s="21">
        <f>IF(AND('Financial Inputs'!$P$14="Cost-Based",'Financial Inputs'!$P$15="Cash Grant",V$2=1),'Financial Inputs'!$P$18,IF('Financial Inputs'!$P$64="as generated",'Detailed Cash Flow'!V$210,-V$217))</f>
        <v>0</v>
      </c>
      <c r="W64" s="21">
        <f>IF(AND('Financial Inputs'!$P$14="Cost-Based",'Financial Inputs'!$P$15="Cash Grant",W$2=1),'Financial Inputs'!$P$18,IF('Financial Inputs'!$P$64="as generated",'Detailed Cash Flow'!W$210,-W$217))</f>
        <v>0</v>
      </c>
      <c r="X64" s="21">
        <f>IF(AND('Financial Inputs'!$P$14="Cost-Based",'Financial Inputs'!$P$15="Cash Grant",X$2=1),'Financial Inputs'!$P$18,IF('Financial Inputs'!$P$64="as generated",'Detailed Cash Flow'!X$210,-X$217))</f>
        <v>0</v>
      </c>
      <c r="Y64" s="21">
        <f>IF(AND('Financial Inputs'!$P$14="Cost-Based",'Financial Inputs'!$P$15="Cash Grant",Y$2=1),'Financial Inputs'!$P$18,IF('Financial Inputs'!$P$64="as generated",'Detailed Cash Flow'!Y$210,-Y$217))</f>
        <v>0</v>
      </c>
      <c r="Z64" s="21">
        <f>IF(AND('Financial Inputs'!$P$14="Cost-Based",'Financial Inputs'!$P$15="Cash Grant",Z$2=1),'Financial Inputs'!$P$18,IF('Financial Inputs'!$P$64="as generated",'Detailed Cash Flow'!Z$210,-Z$217))</f>
        <v>0</v>
      </c>
      <c r="AA64" s="21">
        <f>IF(AND('Financial Inputs'!$P$14="Cost-Based",'Financial Inputs'!$P$15="Cash Grant",AA$2=1),'Financial Inputs'!$P$18,IF('Financial Inputs'!$P$64="as generated",'Detailed Cash Flow'!AA$210,-AA$217))</f>
        <v>0</v>
      </c>
      <c r="AB64" s="21">
        <f>IF(AND('Financial Inputs'!$P$14="Cost-Based",'Financial Inputs'!$P$15="Cash Grant",AB$2=1),'Financial Inputs'!$P$18,IF('Financial Inputs'!$P$64="as generated",'Detailed Cash Flow'!AB$210,-AB$217))</f>
        <v>0</v>
      </c>
      <c r="AC64" s="21">
        <f>IF(AND('Financial Inputs'!$P$14="Cost-Based",'Financial Inputs'!$P$15="Cash Grant",AC$2=1),'Financial Inputs'!$P$18,IF('Financial Inputs'!$P$64="as generated",'Detailed Cash Flow'!AC$210,-AC$217))</f>
        <v>0</v>
      </c>
      <c r="AD64" s="21">
        <f>IF(AND('Financial Inputs'!$P$14="Cost-Based",'Financial Inputs'!$P$15="Cash Grant",AD$2=1),'Financial Inputs'!$P$18,IF('Financial Inputs'!$P$64="as generated",'Detailed Cash Flow'!AD$210,-AD$217))</f>
        <v>0</v>
      </c>
      <c r="AE64" s="21">
        <f>IF(AND('Financial Inputs'!$P$14="Cost-Based",'Financial Inputs'!$P$15="Cash Grant",AE$2=1),'Financial Inputs'!$P$18,IF('Financial Inputs'!$P$64="as generated",'Detailed Cash Flow'!AE$210,-AE$217))</f>
        <v>0</v>
      </c>
      <c r="AF64" s="21">
        <f>IF(AND('Financial Inputs'!$P$14="Cost-Based",'Financial Inputs'!$P$15="Cash Grant",AF$2=1),'Financial Inputs'!$P$18,IF('Financial Inputs'!$P$64="as generated",'Detailed Cash Flow'!AF$210,-AF$217))</f>
        <v>0</v>
      </c>
      <c r="AG64" s="21">
        <f>IF(AND('Financial Inputs'!$P$14="Cost-Based",'Financial Inputs'!$P$15="Cash Grant",AG$2=1),'Financial Inputs'!$P$18,IF('Financial Inputs'!$P$64="as generated",'Detailed Cash Flow'!AG$210,-AG$217))</f>
        <v>0</v>
      </c>
      <c r="AH64" s="21">
        <f>IF(AND('Financial Inputs'!$P$14="Cost-Based",'Financial Inputs'!$P$15="Cash Grant",AH$2=1),'Financial Inputs'!$P$18,IF('Financial Inputs'!$P$64="as generated",'Detailed Cash Flow'!AH$210,-AH$217))</f>
        <v>0</v>
      </c>
      <c r="AI64" s="21">
        <f>IF(AND('Financial Inputs'!$P$14="Cost-Based",'Financial Inputs'!$P$15="Cash Grant",AI$2=1),'Financial Inputs'!$P$18,IF('Financial Inputs'!$P$64="as generated",'Detailed Cash Flow'!AI$210,-AI$217))</f>
        <v>0</v>
      </c>
      <c r="AJ64" s="21">
        <f>IF(AND('Financial Inputs'!$P$14="Cost-Based",'Financial Inputs'!$P$15="Cash Grant",AJ$2=1),'Financial Inputs'!$P$18,IF('Financial Inputs'!$P$64="as generated",'Detailed Cash Flow'!AJ$210,-AJ$217))</f>
        <v>0</v>
      </c>
    </row>
    <row r="65" spans="1:36" s="1" customFormat="1" x14ac:dyDescent="0.2">
      <c r="B65" s="20" t="s">
        <v>109</v>
      </c>
      <c r="C65" s="20"/>
      <c r="D65" s="20"/>
      <c r="E65" s="216"/>
      <c r="F65" s="20"/>
      <c r="G65" s="22">
        <f>IF('Financial Inputs'!$P$66="as generated",'Detailed Cash Flow'!G$224,-G$231)</f>
        <v>0</v>
      </c>
      <c r="H65" s="22">
        <f>IF('Financial Inputs'!$P$66="as generated",'Detailed Cash Flow'!H$224,-H$231)</f>
        <v>0</v>
      </c>
      <c r="I65" s="22">
        <f>IF('Financial Inputs'!$P$66="as generated",'Detailed Cash Flow'!I$224,-I$231)</f>
        <v>0</v>
      </c>
      <c r="J65" s="22">
        <f>IF('Financial Inputs'!$P$66="as generated",'Detailed Cash Flow'!J$224,-J$231)</f>
        <v>0</v>
      </c>
      <c r="K65" s="22">
        <f>IF('Financial Inputs'!$P$66="as generated",'Detailed Cash Flow'!K$224,-K$231)</f>
        <v>0</v>
      </c>
      <c r="L65" s="22">
        <f>IF('Financial Inputs'!$P$66="as generated",'Detailed Cash Flow'!L$224,-L$231)</f>
        <v>0</v>
      </c>
      <c r="M65" s="22">
        <f>IF('Financial Inputs'!$P$66="as generated",'Detailed Cash Flow'!M$224,-M$231)</f>
        <v>0</v>
      </c>
      <c r="N65" s="22">
        <f>IF('Financial Inputs'!$P$66="as generated",'Detailed Cash Flow'!N$224,-N$231)</f>
        <v>0</v>
      </c>
      <c r="O65" s="22">
        <f>IF('Financial Inputs'!$P$66="as generated",'Detailed Cash Flow'!O$224,-O$231)</f>
        <v>0</v>
      </c>
      <c r="P65" s="22">
        <f>IF('Financial Inputs'!$P$66="as generated",'Detailed Cash Flow'!P$224,-P$231)</f>
        <v>0</v>
      </c>
      <c r="Q65" s="22">
        <f>IF('Financial Inputs'!$P$66="as generated",'Detailed Cash Flow'!Q$224,-Q$231)</f>
        <v>0</v>
      </c>
      <c r="R65" s="22">
        <f>IF('Financial Inputs'!$P$66="as generated",'Detailed Cash Flow'!R$224,-R$231)</f>
        <v>0</v>
      </c>
      <c r="S65" s="22">
        <f>IF('Financial Inputs'!$P$66="as generated",'Detailed Cash Flow'!S$224,-S$231)</f>
        <v>0</v>
      </c>
      <c r="T65" s="22">
        <f>IF('Financial Inputs'!$P$66="as generated",'Detailed Cash Flow'!T$224,-T$231)</f>
        <v>0</v>
      </c>
      <c r="U65" s="22">
        <f>IF('Financial Inputs'!$P$66="as generated",'Detailed Cash Flow'!U$224,-U$231)</f>
        <v>0</v>
      </c>
      <c r="V65" s="22">
        <f>IF('Financial Inputs'!$P$66="as generated",'Detailed Cash Flow'!V$224,-V$231)</f>
        <v>0</v>
      </c>
      <c r="W65" s="22">
        <f>IF('Financial Inputs'!$P$66="as generated",'Detailed Cash Flow'!W$224,-W$231)</f>
        <v>0</v>
      </c>
      <c r="X65" s="22">
        <f>IF('Financial Inputs'!$P$66="as generated",'Detailed Cash Flow'!X$224,-X$231)</f>
        <v>0</v>
      </c>
      <c r="Y65" s="22">
        <f>IF('Financial Inputs'!$P$66="as generated",'Detailed Cash Flow'!Y$224,-Y$231)</f>
        <v>0</v>
      </c>
      <c r="Z65" s="22">
        <f>IF('Financial Inputs'!$P$66="as generated",'Detailed Cash Flow'!Z$224,-Z$231)</f>
        <v>0</v>
      </c>
      <c r="AA65" s="22">
        <f>IF('Financial Inputs'!$P$66="as generated",'Detailed Cash Flow'!AA$224,-AA$231)</f>
        <v>0</v>
      </c>
      <c r="AB65" s="22">
        <f>IF('Financial Inputs'!$P$66="as generated",'Detailed Cash Flow'!AB$224,-AB$231)</f>
        <v>0</v>
      </c>
      <c r="AC65" s="22">
        <f>IF('Financial Inputs'!$P$66="as generated",'Detailed Cash Flow'!AC$224,-AC$231)</f>
        <v>0</v>
      </c>
      <c r="AD65" s="22">
        <f>IF('Financial Inputs'!$P$66="as generated",'Detailed Cash Flow'!AD$224,-AD$231)</f>
        <v>0</v>
      </c>
      <c r="AE65" s="22">
        <f>IF('Financial Inputs'!$P$66="as generated",'Detailed Cash Flow'!AE$224,-AE$231)</f>
        <v>0</v>
      </c>
      <c r="AF65" s="22">
        <f>IF('Financial Inputs'!$P$66="as generated",'Detailed Cash Flow'!AF$224,-AF$231)</f>
        <v>0</v>
      </c>
      <c r="AG65" s="22">
        <f>IF('Financial Inputs'!$P$66="as generated",'Detailed Cash Flow'!AG$224,-AG$231)</f>
        <v>0</v>
      </c>
      <c r="AH65" s="22">
        <f>IF('Financial Inputs'!$P$66="as generated",'Detailed Cash Flow'!AH$224,-AH$231)</f>
        <v>0</v>
      </c>
      <c r="AI65" s="22">
        <f>IF('Financial Inputs'!$P$66="as generated",'Detailed Cash Flow'!AI$224,-AI$231)</f>
        <v>0</v>
      </c>
      <c r="AJ65" s="22">
        <f>IF('Financial Inputs'!$P$66="as generated",'Detailed Cash Flow'!AJ$224,-AJ$231)</f>
        <v>0</v>
      </c>
    </row>
    <row r="66" spans="1:36" s="1" customFormat="1" ht="15.75" x14ac:dyDescent="0.25">
      <c r="B66" s="17" t="s">
        <v>108</v>
      </c>
      <c r="C66" s="17"/>
      <c r="D66" s="17"/>
      <c r="E66" s="21"/>
      <c r="F66" s="23">
        <f t="shared" ref="F66:AJ66" si="19">F53+SUM(F62:F65)</f>
        <v>-2666978.3572946326</v>
      </c>
      <c r="G66" s="23">
        <f ca="1">G53+SUM(G62:G65)</f>
        <v>438800.38813301927</v>
      </c>
      <c r="H66" s="23">
        <f t="shared" ca="1" si="19"/>
        <v>612445.09754791087</v>
      </c>
      <c r="I66" s="23">
        <f t="shared" ca="1" si="19"/>
        <v>400416.79612547642</v>
      </c>
      <c r="J66" s="23">
        <f t="shared" ca="1" si="19"/>
        <v>410195.33154211147</v>
      </c>
      <c r="K66" s="23">
        <f t="shared" ca="1" si="19"/>
        <v>380250.57282267185</v>
      </c>
      <c r="L66" s="23">
        <f t="shared" ca="1" si="19"/>
        <v>277682.23457351711</v>
      </c>
      <c r="M66" s="23">
        <f t="shared" ca="1" si="19"/>
        <v>343053.2809490643</v>
      </c>
      <c r="N66" s="23">
        <f t="shared" ca="1" si="19"/>
        <v>220065.17523982283</v>
      </c>
      <c r="O66" s="23">
        <f t="shared" ca="1" si="19"/>
        <v>276294.40987298382</v>
      </c>
      <c r="P66" s="23">
        <f t="shared" ca="1" si="19"/>
        <v>134997.35790051648</v>
      </c>
      <c r="Q66" s="23">
        <f t="shared" ca="1" si="19"/>
        <v>279836.54834791855</v>
      </c>
      <c r="R66" s="23">
        <f t="shared" ca="1" si="19"/>
        <v>404708.46116784419</v>
      </c>
      <c r="S66" s="23">
        <f t="shared" ca="1" si="19"/>
        <v>271502.41856753477</v>
      </c>
      <c r="T66" s="23">
        <f t="shared" ca="1" si="19"/>
        <v>377338.16299708991</v>
      </c>
      <c r="U66" s="23">
        <f t="shared" ca="1" si="19"/>
        <v>376068.77051516832</v>
      </c>
      <c r="V66" s="23">
        <f t="shared" ca="1" si="19"/>
        <v>280209.30369569169</v>
      </c>
      <c r="W66" s="23">
        <f t="shared" ca="1" si="19"/>
        <v>392525.47509685415</v>
      </c>
      <c r="X66" s="23">
        <f t="shared" ca="1" si="19"/>
        <v>291202.50214695453</v>
      </c>
      <c r="Y66" s="23">
        <f t="shared" ca="1" si="19"/>
        <v>408056.19919090212</v>
      </c>
      <c r="Z66" s="23">
        <f t="shared" ca="1" si="19"/>
        <v>482624.14804165321</v>
      </c>
      <c r="AA66" s="23">
        <f t="shared" si="19"/>
        <v>0</v>
      </c>
      <c r="AB66" s="23">
        <f t="shared" si="19"/>
        <v>0</v>
      </c>
      <c r="AC66" s="23">
        <f t="shared" si="19"/>
        <v>0</v>
      </c>
      <c r="AD66" s="23">
        <f t="shared" si="19"/>
        <v>0</v>
      </c>
      <c r="AE66" s="23">
        <f t="shared" si="19"/>
        <v>0</v>
      </c>
      <c r="AF66" s="23">
        <f t="shared" si="19"/>
        <v>0</v>
      </c>
      <c r="AG66" s="23">
        <f t="shared" si="19"/>
        <v>0</v>
      </c>
      <c r="AH66" s="23">
        <f t="shared" si="19"/>
        <v>0</v>
      </c>
      <c r="AI66" s="23">
        <f t="shared" si="19"/>
        <v>0</v>
      </c>
      <c r="AJ66" s="23">
        <f t="shared" si="19"/>
        <v>0</v>
      </c>
    </row>
    <row r="67" spans="1:36" s="1" customFormat="1" ht="15.75" x14ac:dyDescent="0.25">
      <c r="B67" s="27" t="s">
        <v>107</v>
      </c>
      <c r="C67" s="27"/>
      <c r="D67" s="27"/>
      <c r="E67" s="21"/>
      <c r="F67" s="23"/>
      <c r="G67" s="233">
        <f ca="1">IF(ISERROR(IRR($F66:G66)),"NA",IRR($F66:G66))</f>
        <v>-0.83546908547914289</v>
      </c>
      <c r="H67" s="233">
        <f ca="1">IF(ISERROR(IRR($F66:H66)),"NA",IRR($F66:H66))</f>
        <v>-0.43151681806050768</v>
      </c>
      <c r="I67" s="233">
        <f ca="1">IF(ISERROR(IRR($F66:I66)),"NA",IRR($F66:I66))</f>
        <v>-0.25580282192494175</v>
      </c>
      <c r="J67" s="233">
        <f ca="1">IF(ISERROR(IRR($F66:J66)),"NA",IRR($F66:J66))</f>
        <v>-0.13372161098912738</v>
      </c>
      <c r="K67" s="233">
        <f ca="1">IF(ISERROR(IRR($F66:K66)),"NA",IRR($F66:K66))</f>
        <v>-5.7805880473894566E-2</v>
      </c>
      <c r="L67" s="233">
        <f ca="1">IF(ISERROR(IRR($F66:L66)),"NA",IRR($F66:L66))</f>
        <v>-1.7436964198505267E-2</v>
      </c>
      <c r="M67" s="233">
        <f ca="1">IF(ISERROR(IRR($F66:M66)),"NA",IRR($F66:M66))</f>
        <v>1.9763730609249297E-2</v>
      </c>
      <c r="N67" s="233">
        <f ca="1">IF(ISERROR(IRR($F66:N66)),"NA",IRR($F66:N66))</f>
        <v>3.8066707122931698E-2</v>
      </c>
      <c r="O67" s="233">
        <f ca="1">IF(ISERROR(IRR($F66:O66)),"NA",IRR($F66:O66))</f>
        <v>5.6318268441500674E-2</v>
      </c>
      <c r="P67" s="233">
        <f ca="1">IF(ISERROR(IRR($F66:P66)),"NA",IRR($F66:P66))</f>
        <v>6.3614881190513284E-2</v>
      </c>
      <c r="Q67" s="233">
        <f ca="1">IF(ISERROR(IRR($F66:Q66)),"NA",IRR($F66:Q66))</f>
        <v>7.6049938675898154E-2</v>
      </c>
      <c r="R67" s="233">
        <f ca="1">IF(ISERROR(IRR($F66:R66)),"NA",IRR($F66:R66))</f>
        <v>8.9848343160307431E-2</v>
      </c>
      <c r="S67" s="233">
        <f ca="1">IF(ISERROR(IRR($F66:S66)),"NA",IRR($F66:S66))</f>
        <v>9.7079495712845132E-2</v>
      </c>
      <c r="T67" s="233">
        <f ca="1">IF(ISERROR(IRR($F66:T66)),"NA",IRR($F66:T66))</f>
        <v>0.10512581335377025</v>
      </c>
      <c r="U67" s="233">
        <f ca="1">IF(ISERROR(IRR($F66:U66)),"NA",IRR($F66:U66))</f>
        <v>0.11149796127904565</v>
      </c>
      <c r="V67" s="233">
        <f ca="1">IF(ISERROR(IRR($F66:V66)),"NA",IRR($F66:V66))</f>
        <v>0.11537013222659387</v>
      </c>
      <c r="W67" s="233">
        <f ca="1">IF(ISERROR(IRR($F66:W66)),"NA",IRR($F66:W66))</f>
        <v>0.11982839225901398</v>
      </c>
      <c r="X67" s="233">
        <f ca="1">IF(ISERROR(IRR($F66:X66)),"NA",IRR($F66:X66))</f>
        <v>0.12255847730299352</v>
      </c>
      <c r="Y67" s="233">
        <f ca="1">IF(ISERROR(IRR($F66:Y66)),"NA",IRR($F66:Y66))</f>
        <v>0.12573673262783758</v>
      </c>
      <c r="Z67" s="233">
        <f ca="1">IF(ISERROR(IRR($F66:Z66)),"NA",IRR($F66:Z66))</f>
        <v>0.1288255256694637</v>
      </c>
      <c r="AA67" s="233">
        <f ca="1">IF(ISERROR(IRR($F66:AA66)),"NA",IRR($F66:AA66))</f>
        <v>0.1288255256694637</v>
      </c>
      <c r="AB67" s="233">
        <f ca="1">IF(ISERROR(IRR($F66:AB66)),"NA",IRR($F66:AB66))</f>
        <v>0.1288255256694637</v>
      </c>
      <c r="AC67" s="233">
        <f ca="1">IF(ISERROR(IRR($F66:AC66)),"NA",IRR($F66:AC66))</f>
        <v>0.1288255256694637</v>
      </c>
      <c r="AD67" s="233">
        <f ca="1">IF(ISERROR(IRR($F66:AD66)),"NA",IRR($F66:AD66))</f>
        <v>0.1288255256694637</v>
      </c>
      <c r="AE67" s="233">
        <f ca="1">IF(ISERROR(IRR($F66:AE66)),"NA",IRR($F66:AE66))</f>
        <v>0.1288255256694637</v>
      </c>
      <c r="AF67" s="233">
        <f ca="1">IF(ISERROR(IRR($F66:AF66)),"NA",IRR($F66:AF66))</f>
        <v>0.1288255256694637</v>
      </c>
      <c r="AG67" s="233">
        <f ca="1">IF(ISERROR(IRR($F66:AG66)),"NA",IRR($F66:AG66))</f>
        <v>0.1288255256694637</v>
      </c>
      <c r="AH67" s="233">
        <f ca="1">IF(ISERROR(IRR($F66:AH66)),"NA",IRR($F66:AH66))</f>
        <v>0.1288255256694637</v>
      </c>
      <c r="AI67" s="233">
        <f ca="1">IF(ISERROR(IRR($F66:AI66)),"NA",IRR($F66:AI66))</f>
        <v>0.1288255256694637</v>
      </c>
      <c r="AJ67" s="233">
        <f ca="1">IF(ISERROR(IRR($F66:AJ66)),"NA",IRR($F66:AJ66))</f>
        <v>0.1288255256694637</v>
      </c>
    </row>
    <row r="68" spans="1:36" s="1" customFormat="1" ht="16.5" thickBot="1" x14ac:dyDescent="0.3">
      <c r="B68" s="17"/>
      <c r="C68" s="17"/>
      <c r="D68" s="17"/>
      <c r="E68" s="29"/>
      <c r="F68"/>
      <c r="G68"/>
      <c r="H68"/>
      <c r="I68"/>
      <c r="J68" s="242"/>
      <c r="K68" s="242"/>
      <c r="L68" s="242"/>
      <c r="M68" s="242"/>
      <c r="N68" s="23"/>
      <c r="O68" s="23"/>
      <c r="P68" s="23"/>
      <c r="Q68" s="23"/>
      <c r="R68" s="23"/>
      <c r="S68" s="23"/>
      <c r="T68" s="23"/>
      <c r="U68" s="23"/>
      <c r="V68" s="23"/>
      <c r="W68" s="23"/>
      <c r="X68" s="23"/>
      <c r="Y68" s="23"/>
      <c r="Z68" s="23"/>
      <c r="AA68" s="23"/>
      <c r="AB68" s="23"/>
      <c r="AC68" s="23"/>
      <c r="AD68" s="23"/>
      <c r="AE68" s="23"/>
      <c r="AF68" s="23"/>
      <c r="AG68" s="23"/>
      <c r="AH68" s="23"/>
      <c r="AI68" s="23"/>
      <c r="AJ68" s="23"/>
    </row>
    <row r="69" spans="1:36" s="1" customFormat="1" ht="16.5" thickBot="1" x14ac:dyDescent="0.3">
      <c r="B69" s="1177" t="s">
        <v>236</v>
      </c>
      <c r="C69" s="1178"/>
      <c r="D69" s="296">
        <f>IRR(F53:AJ53)</f>
        <v>0.1403727660493499</v>
      </c>
      <c r="F69"/>
      <c r="G69"/>
      <c r="H69"/>
      <c r="I69"/>
      <c r="J69" s="284"/>
      <c r="K69" s="283"/>
      <c r="L69" s="23"/>
      <c r="O69" s="23"/>
      <c r="P69" s="23"/>
      <c r="Q69" s="23"/>
      <c r="R69" s="23"/>
      <c r="S69" s="23"/>
      <c r="T69" s="23"/>
      <c r="U69" s="23"/>
      <c r="V69" s="23"/>
      <c r="W69" s="23"/>
      <c r="X69" s="23"/>
      <c r="Y69" s="23"/>
      <c r="Z69" s="23"/>
      <c r="AA69" s="23"/>
      <c r="AB69" s="23"/>
      <c r="AC69" s="23"/>
      <c r="AD69" s="23"/>
      <c r="AE69" s="23"/>
      <c r="AF69" s="23"/>
      <c r="AG69" s="23"/>
      <c r="AH69" s="23"/>
      <c r="AI69" s="23"/>
      <c r="AJ69" s="23"/>
    </row>
    <row r="70" spans="1:36" s="1" customFormat="1" ht="16.5" thickBot="1" x14ac:dyDescent="0.3">
      <c r="B70" s="297" t="s">
        <v>237</v>
      </c>
      <c r="C70" s="298"/>
      <c r="D70" s="296">
        <f ca="1">IRR(F66:AJ66)</f>
        <v>0.1288255256694637</v>
      </c>
      <c r="F70"/>
      <c r="G70"/>
      <c r="H70"/>
      <c r="I70"/>
      <c r="J70" s="282"/>
      <c r="K70" s="282"/>
      <c r="L70" s="23"/>
      <c r="O70" s="23"/>
      <c r="P70" s="23"/>
      <c r="Q70" s="23"/>
      <c r="R70" s="23"/>
      <c r="S70" s="23"/>
      <c r="T70" s="23"/>
      <c r="U70" s="23"/>
      <c r="V70" s="23"/>
      <c r="W70" s="23"/>
      <c r="X70" s="23"/>
      <c r="Y70" s="23"/>
      <c r="Z70" s="23"/>
      <c r="AA70" s="23"/>
      <c r="AB70" s="23"/>
      <c r="AC70" s="23"/>
      <c r="AD70" s="23"/>
      <c r="AE70" s="23"/>
      <c r="AF70" s="23"/>
      <c r="AG70" s="23"/>
      <c r="AH70" s="23"/>
      <c r="AI70" s="23"/>
      <c r="AJ70" s="23"/>
    </row>
    <row r="71" spans="1:36" s="1" customFormat="1" ht="16.5" thickBot="1" x14ac:dyDescent="0.3">
      <c r="B71" s="401" t="str">
        <f>"Net present value @ "&amp;FIXED('Financial Inputs'!$P$156*100,1)&amp;"% (over defined useful life)"</f>
        <v>Net present value @ 10.0% (over defined useful life)</v>
      </c>
      <c r="C71" s="402"/>
      <c r="D71" s="399">
        <f ca="1">NPV('Financial Inputs'!$P$156,'Detailed Cash Flow'!G66:AJ66)+F66</f>
        <v>484414.39860387892</v>
      </c>
      <c r="F71"/>
      <c r="G71"/>
      <c r="H71"/>
      <c r="I71"/>
      <c r="J71" s="285"/>
      <c r="K71" s="281"/>
    </row>
    <row r="72" spans="1:36" s="1" customFormat="1" ht="16.5" thickBot="1" x14ac:dyDescent="0.3">
      <c r="B72" s="1179" t="s">
        <v>844</v>
      </c>
      <c r="C72" s="1180"/>
      <c r="D72" s="399">
        <f ca="1">-PMT((1+'Financial Inputs'!$P$156)/(1+'Financial Inputs'!$G$55)-1,'Financial Inputs'!G24,D71)*(1+'Financial Inputs'!$G$55)</f>
        <v>49739.428291780685</v>
      </c>
      <c r="E72" s="30"/>
      <c r="F72" s="228"/>
      <c r="G72" s="214"/>
      <c r="H72" s="228"/>
      <c r="I72" s="228"/>
      <c r="J72" s="228"/>
      <c r="K72" s="228"/>
      <c r="L72" s="228"/>
      <c r="M72" s="228"/>
      <c r="N72" s="228"/>
      <c r="O72" s="228"/>
      <c r="P72" s="228"/>
      <c r="Q72" s="228"/>
      <c r="R72" s="228"/>
      <c r="S72" s="228"/>
      <c r="T72" s="228"/>
      <c r="U72" s="228"/>
      <c r="V72" s="228"/>
      <c r="W72" s="228"/>
      <c r="X72" s="228"/>
      <c r="Y72" s="228"/>
      <c r="Z72" s="228"/>
      <c r="AA72" s="228"/>
      <c r="AB72" s="228"/>
      <c r="AC72" s="228"/>
      <c r="AD72" s="228"/>
      <c r="AE72" s="228"/>
      <c r="AF72" s="228"/>
      <c r="AG72" s="228"/>
      <c r="AH72" s="228"/>
      <c r="AI72" s="228"/>
      <c r="AJ72" s="228"/>
    </row>
    <row r="73" spans="1:36" s="400" customFormat="1" x14ac:dyDescent="0.25">
      <c r="A73"/>
      <c r="B73" t="s">
        <v>286</v>
      </c>
      <c r="F73" s="403"/>
      <c r="G73" s="404"/>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row>
    <row r="74" spans="1:36" s="400" customFormat="1" x14ac:dyDescent="0.25">
      <c r="A74"/>
      <c r="B74" t="s">
        <v>287</v>
      </c>
      <c r="E74" s="968"/>
      <c r="F74" s="405"/>
      <c r="G74" s="406">
        <f t="shared" ref="G74:AJ74" si="20">G15</f>
        <v>258948.34388742462</v>
      </c>
      <c r="H74" s="406">
        <f t="shared" si="20"/>
        <v>264127.31076517311</v>
      </c>
      <c r="I74" s="406">
        <f t="shared" si="20"/>
        <v>269409.85698047659</v>
      </c>
      <c r="J74" s="406">
        <f t="shared" si="20"/>
        <v>274798.05412008608</v>
      </c>
      <c r="K74" s="406">
        <f t="shared" si="20"/>
        <v>280294.01520248782</v>
      </c>
      <c r="L74" s="406">
        <f t="shared" si="20"/>
        <v>285899.89550653758</v>
      </c>
      <c r="M74" s="406">
        <f t="shared" si="20"/>
        <v>291617.89341666835</v>
      </c>
      <c r="N74" s="406">
        <f t="shared" si="20"/>
        <v>297450.25128500169</v>
      </c>
      <c r="O74" s="406">
        <f t="shared" si="20"/>
        <v>303399.25631070178</v>
      </c>
      <c r="P74" s="406">
        <f t="shared" si="20"/>
        <v>309467.24143691582</v>
      </c>
      <c r="Q74" s="406">
        <f t="shared" si="20"/>
        <v>315656.58626565413</v>
      </c>
      <c r="R74" s="406">
        <f t="shared" si="20"/>
        <v>321969.71799096721</v>
      </c>
      <c r="S74" s="406">
        <f t="shared" si="20"/>
        <v>328409.11235078651</v>
      </c>
      <c r="T74" s="406">
        <f t="shared" si="20"/>
        <v>334977.29459780222</v>
      </c>
      <c r="U74" s="406">
        <f t="shared" si="20"/>
        <v>341676.84048975835</v>
      </c>
      <c r="V74" s="406">
        <f t="shared" si="20"/>
        <v>348510.37729955354</v>
      </c>
      <c r="W74" s="406">
        <f t="shared" si="20"/>
        <v>355480.5848455446</v>
      </c>
      <c r="X74" s="406">
        <f t="shared" si="20"/>
        <v>362590.19654245552</v>
      </c>
      <c r="Y74" s="406">
        <f t="shared" si="20"/>
        <v>369842.00047330465</v>
      </c>
      <c r="Z74" s="406">
        <f t="shared" si="20"/>
        <v>377238.8404827707</v>
      </c>
      <c r="AA74" s="406">
        <f t="shared" si="20"/>
        <v>0</v>
      </c>
      <c r="AB74" s="406">
        <f t="shared" si="20"/>
        <v>0</v>
      </c>
      <c r="AC74" s="406">
        <f t="shared" si="20"/>
        <v>0</v>
      </c>
      <c r="AD74" s="406">
        <f t="shared" si="20"/>
        <v>0</v>
      </c>
      <c r="AE74" s="406">
        <f t="shared" si="20"/>
        <v>0</v>
      </c>
      <c r="AF74" s="406">
        <f t="shared" si="20"/>
        <v>0</v>
      </c>
      <c r="AG74" s="406">
        <f t="shared" si="20"/>
        <v>0</v>
      </c>
      <c r="AH74" s="406">
        <f t="shared" si="20"/>
        <v>0</v>
      </c>
      <c r="AI74" s="406">
        <f t="shared" si="20"/>
        <v>0</v>
      </c>
      <c r="AJ74" s="406">
        <f t="shared" si="20"/>
        <v>0</v>
      </c>
    </row>
    <row r="75" spans="1:36" s="400" customFormat="1" x14ac:dyDescent="0.25">
      <c r="A75"/>
      <c r="B75" t="s">
        <v>265</v>
      </c>
      <c r="E75" s="968"/>
      <c r="F75" s="405"/>
      <c r="G75" s="406">
        <f t="shared" ref="G75:AJ75" si="21">G16</f>
        <v>182500</v>
      </c>
      <c r="H75" s="406">
        <f t="shared" si="21"/>
        <v>186150</v>
      </c>
      <c r="I75" s="406">
        <f t="shared" si="21"/>
        <v>189873</v>
      </c>
      <c r="J75" s="406">
        <f t="shared" si="21"/>
        <v>193670.46</v>
      </c>
      <c r="K75" s="406">
        <f t="shared" si="21"/>
        <v>197543.86919999999</v>
      </c>
      <c r="L75" s="406">
        <f t="shared" si="21"/>
        <v>201494.74658400001</v>
      </c>
      <c r="M75" s="406">
        <f t="shared" si="21"/>
        <v>205524.64151568001</v>
      </c>
      <c r="N75" s="406">
        <f t="shared" si="21"/>
        <v>209635.1343459936</v>
      </c>
      <c r="O75" s="406">
        <f t="shared" si="21"/>
        <v>213827.83703291349</v>
      </c>
      <c r="P75" s="406">
        <f t="shared" si="21"/>
        <v>218104.39377357176</v>
      </c>
      <c r="Q75" s="406">
        <f t="shared" si="21"/>
        <v>222466.48164904321</v>
      </c>
      <c r="R75" s="406">
        <f t="shared" si="21"/>
        <v>226915.81128202408</v>
      </c>
      <c r="S75" s="406">
        <f t="shared" si="21"/>
        <v>231454.12750766455</v>
      </c>
      <c r="T75" s="406">
        <f t="shared" si="21"/>
        <v>236083.21005781784</v>
      </c>
      <c r="U75" s="406">
        <f t="shared" si="21"/>
        <v>240804.87425897422</v>
      </c>
      <c r="V75" s="406">
        <f t="shared" si="21"/>
        <v>245620.97174415371</v>
      </c>
      <c r="W75" s="406">
        <f t="shared" si="21"/>
        <v>250533.39117903679</v>
      </c>
      <c r="X75" s="406">
        <f t="shared" si="21"/>
        <v>255544.05900261752</v>
      </c>
      <c r="Y75" s="406">
        <f t="shared" si="21"/>
        <v>260654.9401826699</v>
      </c>
      <c r="Z75" s="406">
        <f t="shared" si="21"/>
        <v>265868.03898632328</v>
      </c>
      <c r="AA75" s="406">
        <f t="shared" si="21"/>
        <v>0</v>
      </c>
      <c r="AB75" s="406">
        <f t="shared" si="21"/>
        <v>0</v>
      </c>
      <c r="AC75" s="406">
        <f t="shared" si="21"/>
        <v>0</v>
      </c>
      <c r="AD75" s="406">
        <f t="shared" si="21"/>
        <v>0</v>
      </c>
      <c r="AE75" s="406">
        <f t="shared" si="21"/>
        <v>0</v>
      </c>
      <c r="AF75" s="406">
        <f t="shared" si="21"/>
        <v>0</v>
      </c>
      <c r="AG75" s="406">
        <f t="shared" si="21"/>
        <v>0</v>
      </c>
      <c r="AH75" s="406">
        <f t="shared" si="21"/>
        <v>0</v>
      </c>
      <c r="AI75" s="406">
        <f t="shared" si="21"/>
        <v>0</v>
      </c>
      <c r="AJ75" s="406">
        <f t="shared" si="21"/>
        <v>0</v>
      </c>
    </row>
    <row r="76" spans="1:36" s="400" customFormat="1" x14ac:dyDescent="0.25">
      <c r="A76"/>
      <c r="B76" t="s">
        <v>288</v>
      </c>
      <c r="E76" s="968"/>
      <c r="F76" s="405"/>
      <c r="G76" s="406">
        <f t="shared" ref="G76:AJ76" si="22">G17</f>
        <v>42576.582840351111</v>
      </c>
      <c r="H76" s="406">
        <f t="shared" si="22"/>
        <v>43428.114497158138</v>
      </c>
      <c r="I76" s="406">
        <f t="shared" si="22"/>
        <v>44296.676787101293</v>
      </c>
      <c r="J76" s="406">
        <f t="shared" si="22"/>
        <v>45182.61032284332</v>
      </c>
      <c r="K76" s="406">
        <f t="shared" si="22"/>
        <v>46086.262529300191</v>
      </c>
      <c r="L76" s="406">
        <f t="shared" si="22"/>
        <v>47007.987779886193</v>
      </c>
      <c r="M76" s="406">
        <f t="shared" si="22"/>
        <v>47948.14753548392</v>
      </c>
      <c r="N76" s="406">
        <f t="shared" si="22"/>
        <v>48907.110486193596</v>
      </c>
      <c r="O76" s="406">
        <f t="shared" si="22"/>
        <v>49885.252695917472</v>
      </c>
      <c r="P76" s="406">
        <f t="shared" si="22"/>
        <v>50882.957749835819</v>
      </c>
      <c r="Q76" s="406">
        <f t="shared" si="22"/>
        <v>51900.616904832539</v>
      </c>
      <c r="R76" s="406">
        <f t="shared" si="22"/>
        <v>52938.629242929193</v>
      </c>
      <c r="S76" s="406">
        <f t="shared" si="22"/>
        <v>53997.401827787777</v>
      </c>
      <c r="T76" s="406">
        <f t="shared" si="22"/>
        <v>55077.349864343523</v>
      </c>
      <c r="U76" s="406">
        <f t="shared" si="22"/>
        <v>56178.896861630405</v>
      </c>
      <c r="V76" s="406">
        <f t="shared" si="22"/>
        <v>57302.474798863012</v>
      </c>
      <c r="W76" s="406">
        <f t="shared" si="22"/>
        <v>58448.524294840274</v>
      </c>
      <c r="X76" s="406">
        <f t="shared" si="22"/>
        <v>59617.494780737085</v>
      </c>
      <c r="Y76" s="406">
        <f t="shared" si="22"/>
        <v>60809.84467635183</v>
      </c>
      <c r="Z76" s="406">
        <f t="shared" si="22"/>
        <v>62026.041569878864</v>
      </c>
      <c r="AA76" s="406">
        <f t="shared" si="22"/>
        <v>0</v>
      </c>
      <c r="AB76" s="406">
        <f t="shared" si="22"/>
        <v>0</v>
      </c>
      <c r="AC76" s="406">
        <f t="shared" si="22"/>
        <v>0</v>
      </c>
      <c r="AD76" s="406">
        <f t="shared" si="22"/>
        <v>0</v>
      </c>
      <c r="AE76" s="406">
        <f t="shared" si="22"/>
        <v>0</v>
      </c>
      <c r="AF76" s="406">
        <f t="shared" si="22"/>
        <v>0</v>
      </c>
      <c r="AG76" s="406">
        <f t="shared" si="22"/>
        <v>0</v>
      </c>
      <c r="AH76" s="406">
        <f t="shared" si="22"/>
        <v>0</v>
      </c>
      <c r="AI76" s="406">
        <f t="shared" si="22"/>
        <v>0</v>
      </c>
      <c r="AJ76" s="406">
        <f t="shared" si="22"/>
        <v>0</v>
      </c>
    </row>
    <row r="77" spans="1:36" s="400" customFormat="1" x14ac:dyDescent="0.25">
      <c r="A77"/>
      <c r="B77" t="str">
        <f>B18</f>
        <v>Nutrient value</v>
      </c>
      <c r="E77" s="968"/>
      <c r="F77" s="405"/>
      <c r="G77" s="406">
        <f t="shared" ref="G77:AJ77" si="23">G18+G32</f>
        <v>64837.798963558307</v>
      </c>
      <c r="H77" s="406">
        <f t="shared" si="23"/>
        <v>66134.554942829476</v>
      </c>
      <c r="I77" s="406">
        <f t="shared" si="23"/>
        <v>67457.24604168607</v>
      </c>
      <c r="J77" s="406">
        <f t="shared" si="23"/>
        <v>68806.390962519785</v>
      </c>
      <c r="K77" s="406">
        <f t="shared" si="23"/>
        <v>70182.518781770181</v>
      </c>
      <c r="L77" s="406">
        <f t="shared" si="23"/>
        <v>71586.169157405602</v>
      </c>
      <c r="M77" s="406">
        <f t="shared" si="23"/>
        <v>73017.892540553687</v>
      </c>
      <c r="N77" s="406">
        <f t="shared" si="23"/>
        <v>74478.250391364782</v>
      </c>
      <c r="O77" s="406">
        <f t="shared" si="23"/>
        <v>75967.815399192084</v>
      </c>
      <c r="P77" s="406">
        <f t="shared" si="23"/>
        <v>77487.171707175934</v>
      </c>
      <c r="Q77" s="406">
        <f t="shared" si="23"/>
        <v>79036.915141319434</v>
      </c>
      <c r="R77" s="406">
        <f t="shared" si="23"/>
        <v>80617.653444145835</v>
      </c>
      <c r="S77" s="406">
        <f t="shared" si="23"/>
        <v>82230.00651302874</v>
      </c>
      <c r="T77" s="406">
        <f t="shared" si="23"/>
        <v>83874.606643289313</v>
      </c>
      <c r="U77" s="406">
        <f t="shared" si="23"/>
        <v>85552.098776155108</v>
      </c>
      <c r="V77" s="406">
        <f t="shared" si="23"/>
        <v>87263.14075167822</v>
      </c>
      <c r="W77" s="406">
        <f t="shared" si="23"/>
        <v>89008.403566711771</v>
      </c>
      <c r="X77" s="406">
        <f t="shared" si="23"/>
        <v>90788.571638046022</v>
      </c>
      <c r="Y77" s="406">
        <f t="shared" si="23"/>
        <v>92604.343070806921</v>
      </c>
      <c r="Z77" s="406">
        <f t="shared" si="23"/>
        <v>94456.429932223065</v>
      </c>
      <c r="AA77" s="406">
        <f t="shared" si="23"/>
        <v>0</v>
      </c>
      <c r="AB77" s="406">
        <f t="shared" si="23"/>
        <v>0</v>
      </c>
      <c r="AC77" s="406">
        <f t="shared" si="23"/>
        <v>0</v>
      </c>
      <c r="AD77" s="406">
        <f t="shared" si="23"/>
        <v>0</v>
      </c>
      <c r="AE77" s="406">
        <f t="shared" si="23"/>
        <v>0</v>
      </c>
      <c r="AF77" s="406">
        <f t="shared" si="23"/>
        <v>0</v>
      </c>
      <c r="AG77" s="406">
        <f t="shared" si="23"/>
        <v>0</v>
      </c>
      <c r="AH77" s="406">
        <f t="shared" si="23"/>
        <v>0</v>
      </c>
      <c r="AI77" s="406">
        <f t="shared" si="23"/>
        <v>0</v>
      </c>
      <c r="AJ77" s="406">
        <f t="shared" si="23"/>
        <v>0</v>
      </c>
    </row>
    <row r="78" spans="1:36" s="400" customFormat="1" x14ac:dyDescent="0.25">
      <c r="A78"/>
      <c r="B78" t="s">
        <v>410</v>
      </c>
      <c r="E78" s="968"/>
      <c r="F78" s="405"/>
      <c r="G78" s="406">
        <f t="shared" ref="G78:AJ78" si="24">G19</f>
        <v>125350.22533913102</v>
      </c>
      <c r="H78" s="406">
        <f t="shared" si="24"/>
        <v>127857.22984591365</v>
      </c>
      <c r="I78" s="406">
        <f t="shared" si="24"/>
        <v>130414.37444283192</v>
      </c>
      <c r="J78" s="406">
        <f t="shared" si="24"/>
        <v>133022.66193168855</v>
      </c>
      <c r="K78" s="406">
        <f t="shared" si="24"/>
        <v>135683.11517032233</v>
      </c>
      <c r="L78" s="406">
        <f t="shared" si="24"/>
        <v>138396.77747372878</v>
      </c>
      <c r="M78" s="406">
        <f t="shared" si="24"/>
        <v>141164.71302320337</v>
      </c>
      <c r="N78" s="406">
        <f t="shared" si="24"/>
        <v>143988.00728366742</v>
      </c>
      <c r="O78" s="406">
        <f t="shared" si="24"/>
        <v>146867.76742934078</v>
      </c>
      <c r="P78" s="406">
        <f t="shared" si="24"/>
        <v>149805.12277792761</v>
      </c>
      <c r="Q78" s="406">
        <f t="shared" si="24"/>
        <v>152801.22523348616</v>
      </c>
      <c r="R78" s="406">
        <f t="shared" si="24"/>
        <v>155857.24973815586</v>
      </c>
      <c r="S78" s="406">
        <f t="shared" si="24"/>
        <v>158974.394732919</v>
      </c>
      <c r="T78" s="406">
        <f t="shared" si="24"/>
        <v>162153.88262757735</v>
      </c>
      <c r="U78" s="406">
        <f t="shared" si="24"/>
        <v>165396.96028012893</v>
      </c>
      <c r="V78" s="406">
        <f t="shared" si="24"/>
        <v>168704.8994857315</v>
      </c>
      <c r="W78" s="406">
        <f t="shared" si="24"/>
        <v>172078.99747544614</v>
      </c>
      <c r="X78" s="406">
        <f t="shared" si="24"/>
        <v>175520.57742495509</v>
      </c>
      <c r="Y78" s="406">
        <f t="shared" si="24"/>
        <v>179030.98897345419</v>
      </c>
      <c r="Z78" s="406">
        <f t="shared" si="24"/>
        <v>182611.60875292326</v>
      </c>
      <c r="AA78" s="406">
        <f t="shared" si="24"/>
        <v>0</v>
      </c>
      <c r="AB78" s="406">
        <f t="shared" si="24"/>
        <v>0</v>
      </c>
      <c r="AC78" s="406">
        <f t="shared" si="24"/>
        <v>0</v>
      </c>
      <c r="AD78" s="406">
        <f t="shared" si="24"/>
        <v>0</v>
      </c>
      <c r="AE78" s="406">
        <f t="shared" si="24"/>
        <v>0</v>
      </c>
      <c r="AF78" s="406">
        <f t="shared" si="24"/>
        <v>0</v>
      </c>
      <c r="AG78" s="406">
        <f t="shared" si="24"/>
        <v>0</v>
      </c>
      <c r="AH78" s="406">
        <f t="shared" si="24"/>
        <v>0</v>
      </c>
      <c r="AI78" s="406">
        <f t="shared" si="24"/>
        <v>0</v>
      </c>
      <c r="AJ78" s="406">
        <f t="shared" si="24"/>
        <v>0</v>
      </c>
    </row>
    <row r="79" spans="1:36" s="400" customFormat="1" x14ac:dyDescent="0.25">
      <c r="A79"/>
      <c r="B79" s="400" t="s">
        <v>289</v>
      </c>
      <c r="E79" s="968"/>
      <c r="F79" s="405"/>
      <c r="G79" s="406">
        <f t="shared" ref="G79:AJ79" si="25">G21+G23</f>
        <v>67758.149983876108</v>
      </c>
      <c r="H79" s="406">
        <f t="shared" si="25"/>
        <v>69113.312983553624</v>
      </c>
      <c r="I79" s="406">
        <f t="shared" si="25"/>
        <v>70495.579243224696</v>
      </c>
      <c r="J79" s="406">
        <f t="shared" si="25"/>
        <v>71905.490828089198</v>
      </c>
      <c r="K79" s="406">
        <f t="shared" si="25"/>
        <v>73343.600644650985</v>
      </c>
      <c r="L79" s="406">
        <f t="shared" si="25"/>
        <v>74810.472657544015</v>
      </c>
      <c r="M79" s="406">
        <f t="shared" si="25"/>
        <v>76306.682110694877</v>
      </c>
      <c r="N79" s="406">
        <f t="shared" si="25"/>
        <v>77832.815752908791</v>
      </c>
      <c r="O79" s="406">
        <f t="shared" si="25"/>
        <v>79389.472067966955</v>
      </c>
      <c r="P79" s="406">
        <f t="shared" si="25"/>
        <v>80977.261509326301</v>
      </c>
      <c r="Q79" s="406">
        <f t="shared" si="25"/>
        <v>37001.96650114056</v>
      </c>
      <c r="R79" s="406">
        <f t="shared" si="25"/>
        <v>37742.005831163377</v>
      </c>
      <c r="S79" s="406">
        <f t="shared" si="25"/>
        <v>38496.845947786642</v>
      </c>
      <c r="T79" s="406">
        <f t="shared" si="25"/>
        <v>39266.782866742375</v>
      </c>
      <c r="U79" s="406">
        <f t="shared" si="25"/>
        <v>40052.118524077225</v>
      </c>
      <c r="V79" s="406">
        <f t="shared" si="25"/>
        <v>40853.160894558772</v>
      </c>
      <c r="W79" s="406">
        <f t="shared" si="25"/>
        <v>41670.224112449949</v>
      </c>
      <c r="X79" s="406">
        <f t="shared" si="25"/>
        <v>42503.628594698952</v>
      </c>
      <c r="Y79" s="406">
        <f t="shared" si="25"/>
        <v>43353.701166592931</v>
      </c>
      <c r="Z79" s="406">
        <f t="shared" si="25"/>
        <v>44220.775189924789</v>
      </c>
      <c r="AA79" s="406">
        <f t="shared" si="25"/>
        <v>0</v>
      </c>
      <c r="AB79" s="406">
        <f t="shared" si="25"/>
        <v>0</v>
      </c>
      <c r="AC79" s="406">
        <f t="shared" si="25"/>
        <v>0</v>
      </c>
      <c r="AD79" s="406">
        <f t="shared" si="25"/>
        <v>0</v>
      </c>
      <c r="AE79" s="406">
        <f t="shared" si="25"/>
        <v>0</v>
      </c>
      <c r="AF79" s="406">
        <f t="shared" si="25"/>
        <v>0</v>
      </c>
      <c r="AG79" s="406">
        <f t="shared" si="25"/>
        <v>0</v>
      </c>
      <c r="AH79" s="406">
        <f t="shared" si="25"/>
        <v>0</v>
      </c>
      <c r="AI79" s="406">
        <f t="shared" si="25"/>
        <v>0</v>
      </c>
      <c r="AJ79" s="406">
        <f t="shared" si="25"/>
        <v>0</v>
      </c>
    </row>
    <row r="80" spans="1:36" s="400" customFormat="1" x14ac:dyDescent="0.25">
      <c r="A80"/>
      <c r="B80" t="s">
        <v>297</v>
      </c>
      <c r="E80" s="968"/>
      <c r="F80" s="405"/>
      <c r="G80" s="406"/>
      <c r="H80" s="406"/>
      <c r="I80" s="406"/>
      <c r="J80" s="406"/>
      <c r="K80" s="406"/>
      <c r="L80" s="406"/>
      <c r="M80" s="406"/>
      <c r="N80" s="406"/>
      <c r="O80" s="406"/>
      <c r="P80" s="406"/>
      <c r="Q80" s="406"/>
      <c r="R80" s="406"/>
      <c r="S80" s="406"/>
      <c r="T80" s="406"/>
      <c r="U80" s="406"/>
      <c r="V80" s="406"/>
      <c r="W80" s="406"/>
      <c r="X80" s="406"/>
      <c r="Y80" s="406"/>
      <c r="Z80" s="406"/>
      <c r="AA80" s="406"/>
      <c r="AB80" s="406"/>
      <c r="AC80" s="406"/>
      <c r="AD80" s="406"/>
      <c r="AE80" s="406"/>
      <c r="AF80" s="406"/>
      <c r="AG80" s="406"/>
      <c r="AH80" s="406"/>
      <c r="AI80" s="406"/>
      <c r="AJ80" s="406"/>
    </row>
    <row r="81" spans="1:36" s="400" customFormat="1" x14ac:dyDescent="0.25">
      <c r="A81"/>
      <c r="B81" s="400" t="s">
        <v>290</v>
      </c>
      <c r="E81" s="968"/>
      <c r="F81" s="405"/>
      <c r="G81" s="406">
        <f t="shared" ref="G81:AJ81" si="26">G30+G31</f>
        <v>-248646.95174381457</v>
      </c>
      <c r="H81" s="406">
        <f t="shared" si="26"/>
        <v>-211833.89077869087</v>
      </c>
      <c r="I81" s="406">
        <f t="shared" si="26"/>
        <v>-266980.80859426467</v>
      </c>
      <c r="J81" s="406">
        <f t="shared" si="26"/>
        <v>-272320.42476614995</v>
      </c>
      <c r="K81" s="406">
        <f t="shared" si="26"/>
        <v>-277766.83326147299</v>
      </c>
      <c r="L81" s="406">
        <f t="shared" si="26"/>
        <v>-283322.16992670245</v>
      </c>
      <c r="M81" s="406">
        <f t="shared" si="26"/>
        <v>-288988.61332523648</v>
      </c>
      <c r="N81" s="406">
        <f t="shared" si="26"/>
        <v>-294768.38559174119</v>
      </c>
      <c r="O81" s="406">
        <f t="shared" si="26"/>
        <v>-300663.75330357609</v>
      </c>
      <c r="P81" s="406">
        <f t="shared" si="26"/>
        <v>-306677.02836964757</v>
      </c>
      <c r="Q81" s="406">
        <f t="shared" si="26"/>
        <v>-303099.24672441569</v>
      </c>
      <c r="R81" s="406">
        <f t="shared" si="26"/>
        <v>-258224.33082500304</v>
      </c>
      <c r="S81" s="406">
        <f t="shared" si="26"/>
        <v>-325448.115922097</v>
      </c>
      <c r="T81" s="406">
        <f t="shared" si="26"/>
        <v>-331957.07824053889</v>
      </c>
      <c r="U81" s="406">
        <f t="shared" si="26"/>
        <v>-338596.21980534971</v>
      </c>
      <c r="V81" s="406">
        <f t="shared" si="26"/>
        <v>-345368.14420145674</v>
      </c>
      <c r="W81" s="406">
        <f t="shared" si="26"/>
        <v>-352275.50708548585</v>
      </c>
      <c r="X81" s="406">
        <f t="shared" si="26"/>
        <v>-359321.01722719561</v>
      </c>
      <c r="Y81" s="406">
        <f t="shared" si="26"/>
        <v>-366507.43757173955</v>
      </c>
      <c r="Z81" s="406">
        <f>Z30+Z31+Z47</f>
        <v>31155.798144120083</v>
      </c>
      <c r="AA81" s="406">
        <f t="shared" si="26"/>
        <v>0</v>
      </c>
      <c r="AB81" s="406">
        <f t="shared" si="26"/>
        <v>0</v>
      </c>
      <c r="AC81" s="406">
        <f t="shared" si="26"/>
        <v>0</v>
      </c>
      <c r="AD81" s="406">
        <f t="shared" si="26"/>
        <v>0</v>
      </c>
      <c r="AE81" s="406">
        <f t="shared" si="26"/>
        <v>0</v>
      </c>
      <c r="AF81" s="406">
        <f t="shared" si="26"/>
        <v>0</v>
      </c>
      <c r="AG81" s="406">
        <f t="shared" si="26"/>
        <v>0</v>
      </c>
      <c r="AH81" s="406">
        <f t="shared" si="26"/>
        <v>0</v>
      </c>
      <c r="AI81" s="406">
        <f t="shared" si="26"/>
        <v>0</v>
      </c>
      <c r="AJ81" s="406">
        <f t="shared" si="26"/>
        <v>0</v>
      </c>
    </row>
    <row r="82" spans="1:36" s="400" customFormat="1" x14ac:dyDescent="0.25">
      <c r="A82"/>
      <c r="B82" t="s">
        <v>69</v>
      </c>
      <c r="E82" s="968"/>
      <c r="F82" s="405"/>
      <c r="G82" s="406">
        <f>G41+G42</f>
        <v>-72623.775896522711</v>
      </c>
      <c r="H82" s="406">
        <f t="shared" ref="H82:AJ82" si="27">H41+H42</f>
        <v>-67587.906565363024</v>
      </c>
      <c r="I82" s="406">
        <f t="shared" si="27"/>
        <v>-62149.1676877106</v>
      </c>
      <c r="J82" s="406">
        <f t="shared" si="27"/>
        <v>-56275.329699845992</v>
      </c>
      <c r="K82" s="406">
        <f t="shared" si="27"/>
        <v>-49931.584672952187</v>
      </c>
      <c r="L82" s="406">
        <f t="shared" si="27"/>
        <v>-43080.340043906894</v>
      </c>
      <c r="M82" s="406">
        <f t="shared" si="27"/>
        <v>-35680.995844537982</v>
      </c>
      <c r="N82" s="406">
        <f t="shared" si="27"/>
        <v>-27689.704109219536</v>
      </c>
      <c r="O82" s="406">
        <f t="shared" si="27"/>
        <v>-19059.109035075631</v>
      </c>
      <c r="P82" s="406">
        <f t="shared" si="27"/>
        <v>-9738.0663550002009</v>
      </c>
      <c r="Q82" s="406">
        <f t="shared" si="27"/>
        <v>0</v>
      </c>
      <c r="R82" s="406">
        <f t="shared" si="27"/>
        <v>0</v>
      </c>
      <c r="S82" s="406">
        <f t="shared" si="27"/>
        <v>0</v>
      </c>
      <c r="T82" s="406">
        <f t="shared" si="27"/>
        <v>0</v>
      </c>
      <c r="U82" s="406">
        <f t="shared" si="27"/>
        <v>0</v>
      </c>
      <c r="V82" s="406">
        <f t="shared" si="27"/>
        <v>0</v>
      </c>
      <c r="W82" s="406">
        <f t="shared" si="27"/>
        <v>0</v>
      </c>
      <c r="X82" s="406">
        <f t="shared" si="27"/>
        <v>0</v>
      </c>
      <c r="Y82" s="406">
        <f t="shared" si="27"/>
        <v>0</v>
      </c>
      <c r="Z82" s="406">
        <f t="shared" si="27"/>
        <v>0</v>
      </c>
      <c r="AA82" s="406">
        <f t="shared" si="27"/>
        <v>0</v>
      </c>
      <c r="AB82" s="406">
        <f t="shared" si="27"/>
        <v>0</v>
      </c>
      <c r="AC82" s="406">
        <f t="shared" si="27"/>
        <v>0</v>
      </c>
      <c r="AD82" s="406">
        <f t="shared" si="27"/>
        <v>0</v>
      </c>
      <c r="AE82" s="406">
        <f t="shared" si="27"/>
        <v>0</v>
      </c>
      <c r="AF82" s="406">
        <f t="shared" si="27"/>
        <v>0</v>
      </c>
      <c r="AG82" s="406">
        <f t="shared" si="27"/>
        <v>0</v>
      </c>
      <c r="AH82" s="406">
        <f t="shared" si="27"/>
        <v>0</v>
      </c>
      <c r="AI82" s="406">
        <f t="shared" si="27"/>
        <v>0</v>
      </c>
      <c r="AJ82" s="406">
        <f t="shared" si="27"/>
        <v>0</v>
      </c>
    </row>
    <row r="83" spans="1:36" s="400" customFormat="1" x14ac:dyDescent="0.25">
      <c r="A83"/>
      <c r="B83" s="400" t="s">
        <v>300</v>
      </c>
      <c r="E83" s="968"/>
      <c r="F83" s="405"/>
      <c r="G83" s="406">
        <f>G45</f>
        <v>-60893.220449330729</v>
      </c>
      <c r="H83" s="406">
        <f t="shared" ref="H83:AJ83" si="28">H45</f>
        <v>-65764.678085277206</v>
      </c>
      <c r="I83" s="406">
        <f t="shared" si="28"/>
        <v>-71025.852332099385</v>
      </c>
      <c r="J83" s="406">
        <f t="shared" si="28"/>
        <v>-76707.920518667335</v>
      </c>
      <c r="K83" s="406">
        <f t="shared" si="28"/>
        <v>-82844.55416016074</v>
      </c>
      <c r="L83" s="406">
        <f t="shared" si="28"/>
        <v>-89472.118492973575</v>
      </c>
      <c r="M83" s="406">
        <f t="shared" si="28"/>
        <v>-96629.887972411481</v>
      </c>
      <c r="N83" s="406">
        <f t="shared" si="28"/>
        <v>-104360.27901020441</v>
      </c>
      <c r="O83" s="406">
        <f t="shared" si="28"/>
        <v>-112709.10133102076</v>
      </c>
      <c r="P83" s="406">
        <f t="shared" si="28"/>
        <v>-121725.82943750243</v>
      </c>
      <c r="Q83" s="406">
        <f t="shared" si="28"/>
        <v>0</v>
      </c>
      <c r="R83" s="406">
        <f t="shared" si="28"/>
        <v>0</v>
      </c>
      <c r="S83" s="406">
        <f t="shared" si="28"/>
        <v>0</v>
      </c>
      <c r="T83" s="406">
        <f t="shared" si="28"/>
        <v>0</v>
      </c>
      <c r="U83" s="406">
        <f t="shared" si="28"/>
        <v>0</v>
      </c>
      <c r="V83" s="406">
        <f t="shared" si="28"/>
        <v>0</v>
      </c>
      <c r="W83" s="406">
        <f t="shared" si="28"/>
        <v>0</v>
      </c>
      <c r="X83" s="406">
        <f t="shared" si="28"/>
        <v>0</v>
      </c>
      <c r="Y83" s="406">
        <f t="shared" si="28"/>
        <v>0</v>
      </c>
      <c r="Z83" s="406">
        <f t="shared" si="28"/>
        <v>0</v>
      </c>
      <c r="AA83" s="406">
        <f t="shared" si="28"/>
        <v>0</v>
      </c>
      <c r="AB83" s="406">
        <f t="shared" si="28"/>
        <v>0</v>
      </c>
      <c r="AC83" s="406">
        <f t="shared" si="28"/>
        <v>0</v>
      </c>
      <c r="AD83" s="406">
        <f t="shared" si="28"/>
        <v>0</v>
      </c>
      <c r="AE83" s="406">
        <f t="shared" si="28"/>
        <v>0</v>
      </c>
      <c r="AF83" s="406">
        <f t="shared" si="28"/>
        <v>0</v>
      </c>
      <c r="AG83" s="406">
        <f t="shared" si="28"/>
        <v>0</v>
      </c>
      <c r="AH83" s="406">
        <f t="shared" si="28"/>
        <v>0</v>
      </c>
      <c r="AI83" s="406">
        <f t="shared" si="28"/>
        <v>0</v>
      </c>
      <c r="AJ83" s="406">
        <f t="shared" si="28"/>
        <v>0</v>
      </c>
    </row>
    <row r="84" spans="1:36" s="400" customFormat="1" x14ac:dyDescent="0.25">
      <c r="A84"/>
      <c r="B84" s="400" t="s">
        <v>301</v>
      </c>
      <c r="C84" s="433"/>
      <c r="E84" s="968"/>
      <c r="F84" s="405"/>
      <c r="G84" s="406">
        <f>G46</f>
        <v>0</v>
      </c>
      <c r="H84" s="406">
        <f t="shared" ref="H84:AJ84" si="29">H46</f>
        <v>0</v>
      </c>
      <c r="I84" s="406">
        <f t="shared" si="29"/>
        <v>-77509.959903733426</v>
      </c>
      <c r="J84" s="406">
        <f t="shared" si="29"/>
        <v>0</v>
      </c>
      <c r="K84" s="406">
        <f t="shared" si="29"/>
        <v>0</v>
      </c>
      <c r="L84" s="406">
        <f t="shared" si="29"/>
        <v>-82254.189529521143</v>
      </c>
      <c r="M84" s="406">
        <f t="shared" si="29"/>
        <v>0</v>
      </c>
      <c r="N84" s="406">
        <f t="shared" si="29"/>
        <v>-85577.258786513776</v>
      </c>
      <c r="O84" s="406">
        <f t="shared" si="29"/>
        <v>0</v>
      </c>
      <c r="P84" s="406">
        <f t="shared" si="29"/>
        <v>-153342.7084823318</v>
      </c>
      <c r="Q84" s="406">
        <f t="shared" si="29"/>
        <v>-90815.271642318723</v>
      </c>
      <c r="R84" s="406">
        <f t="shared" si="29"/>
        <v>0</v>
      </c>
      <c r="S84" s="406">
        <f t="shared" si="29"/>
        <v>-94484.208616668402</v>
      </c>
      <c r="T84" s="406">
        <f t="shared" si="29"/>
        <v>0</v>
      </c>
      <c r="U84" s="406">
        <f t="shared" si="29"/>
        <v>0</v>
      </c>
      <c r="V84" s="406">
        <f t="shared" si="29"/>
        <v>-100267.39805767742</v>
      </c>
      <c r="W84" s="406">
        <f t="shared" si="29"/>
        <v>0</v>
      </c>
      <c r="X84" s="406">
        <f t="shared" si="29"/>
        <v>-104318.20093920761</v>
      </c>
      <c r="Y84" s="406">
        <f t="shared" si="29"/>
        <v>0</v>
      </c>
      <c r="Z84" s="406">
        <f t="shared" si="29"/>
        <v>-550667.15019854461</v>
      </c>
      <c r="AA84" s="406">
        <f t="shared" si="29"/>
        <v>0</v>
      </c>
      <c r="AB84" s="406">
        <f t="shared" si="29"/>
        <v>0</v>
      </c>
      <c r="AC84" s="406">
        <f t="shared" si="29"/>
        <v>0</v>
      </c>
      <c r="AD84" s="406">
        <f t="shared" si="29"/>
        <v>0</v>
      </c>
      <c r="AE84" s="406">
        <f t="shared" si="29"/>
        <v>0</v>
      </c>
      <c r="AF84" s="406">
        <f t="shared" si="29"/>
        <v>0</v>
      </c>
      <c r="AG84" s="406">
        <f t="shared" si="29"/>
        <v>0</v>
      </c>
      <c r="AH84" s="406">
        <f t="shared" si="29"/>
        <v>0</v>
      </c>
      <c r="AI84" s="406">
        <f t="shared" si="29"/>
        <v>0</v>
      </c>
      <c r="AJ84" s="406">
        <f t="shared" si="29"/>
        <v>0</v>
      </c>
    </row>
    <row r="85" spans="1:36" s="400" customFormat="1" x14ac:dyDescent="0.25">
      <c r="A85"/>
      <c r="B85" s="400" t="s">
        <v>291</v>
      </c>
      <c r="E85" s="968"/>
      <c r="F85" s="405"/>
      <c r="G85" s="406">
        <f t="shared" ref="G85:AJ85" ca="1" si="30">SUM(G62:G65)</f>
        <v>78993.235208346203</v>
      </c>
      <c r="H85" s="406">
        <f t="shared" ca="1" si="30"/>
        <v>200821.04994261396</v>
      </c>
      <c r="I85" s="406">
        <f t="shared" ca="1" si="30"/>
        <v>106135.85114796378</v>
      </c>
      <c r="J85" s="406">
        <f t="shared" ca="1" si="30"/>
        <v>28113.338361547783</v>
      </c>
      <c r="K85" s="406">
        <f t="shared" ca="1" si="30"/>
        <v>-12339.836611273684</v>
      </c>
      <c r="L85" s="406">
        <f t="shared" ca="1" si="30"/>
        <v>-43384.996592481126</v>
      </c>
      <c r="M85" s="406">
        <f t="shared" ca="1" si="30"/>
        <v>-71227.192051034042</v>
      </c>
      <c r="N85" s="406">
        <f t="shared" ca="1" si="30"/>
        <v>-119830.7668076281</v>
      </c>
      <c r="O85" s="406">
        <f t="shared" ca="1" si="30"/>
        <v>-160611.02739337628</v>
      </c>
      <c r="P85" s="406">
        <f t="shared" ca="1" si="30"/>
        <v>-160243.15840975463</v>
      </c>
      <c r="Q85" s="406">
        <f t="shared" ca="1" si="30"/>
        <v>-185112.7249808232</v>
      </c>
      <c r="R85" s="406">
        <f t="shared" ca="1" si="30"/>
        <v>-213108.27553653828</v>
      </c>
      <c r="S85" s="406">
        <f t="shared" ca="1" si="30"/>
        <v>-202127.14577367311</v>
      </c>
      <c r="T85" s="406">
        <f t="shared" ca="1" si="30"/>
        <v>-202137.88541994395</v>
      </c>
      <c r="U85" s="406">
        <f t="shared" ca="1" si="30"/>
        <v>-214996.79887020608</v>
      </c>
      <c r="V85" s="406">
        <f t="shared" ca="1" si="30"/>
        <v>-222410.1790197129</v>
      </c>
      <c r="W85" s="406">
        <f t="shared" ca="1" si="30"/>
        <v>-222419.14329168946</v>
      </c>
      <c r="X85" s="406">
        <f t="shared" ca="1" si="30"/>
        <v>-231722.80767015231</v>
      </c>
      <c r="Y85" s="406">
        <f t="shared" ca="1" si="30"/>
        <v>-231732.18178053893</v>
      </c>
      <c r="Z85" s="406">
        <f t="shared" ca="1" si="30"/>
        <v>-24286.234817966069</v>
      </c>
      <c r="AA85" s="406">
        <f t="shared" si="30"/>
        <v>0</v>
      </c>
      <c r="AB85" s="406">
        <f t="shared" si="30"/>
        <v>0</v>
      </c>
      <c r="AC85" s="406">
        <f t="shared" si="30"/>
        <v>0</v>
      </c>
      <c r="AD85" s="406">
        <f t="shared" si="30"/>
        <v>0</v>
      </c>
      <c r="AE85" s="406">
        <f t="shared" si="30"/>
        <v>0</v>
      </c>
      <c r="AF85" s="406">
        <f t="shared" si="30"/>
        <v>0</v>
      </c>
      <c r="AG85" s="406">
        <f t="shared" si="30"/>
        <v>0</v>
      </c>
      <c r="AH85" s="406">
        <f t="shared" si="30"/>
        <v>0</v>
      </c>
      <c r="AI85" s="406">
        <f t="shared" si="30"/>
        <v>0</v>
      </c>
      <c r="AJ85" s="406">
        <f t="shared" si="30"/>
        <v>0</v>
      </c>
    </row>
    <row r="86" spans="1:36" s="400" customFormat="1" x14ac:dyDescent="0.25">
      <c r="A86"/>
      <c r="B86" s="400" t="s">
        <v>298</v>
      </c>
      <c r="E86" s="968"/>
      <c r="F86" s="405"/>
      <c r="G86" s="406"/>
      <c r="H86" s="406"/>
      <c r="I86" s="406"/>
      <c r="J86" s="406"/>
      <c r="K86" s="406"/>
      <c r="L86" s="406"/>
      <c r="M86" s="406"/>
      <c r="N86" s="406"/>
      <c r="O86" s="406"/>
      <c r="P86" s="406"/>
      <c r="Q86" s="406"/>
      <c r="R86" s="406"/>
      <c r="S86" s="406"/>
      <c r="T86" s="406"/>
      <c r="U86" s="406"/>
      <c r="V86" s="406"/>
      <c r="W86" s="406"/>
      <c r="X86" s="406"/>
      <c r="Y86" s="406"/>
      <c r="Z86" s="406"/>
      <c r="AA86" s="406"/>
      <c r="AB86" s="406"/>
      <c r="AC86" s="406"/>
      <c r="AD86" s="406"/>
      <c r="AE86" s="406"/>
      <c r="AF86" s="406"/>
      <c r="AG86" s="406"/>
      <c r="AH86" s="406"/>
      <c r="AI86" s="406"/>
      <c r="AJ86" s="406"/>
    </row>
    <row r="87" spans="1:36" s="400" customFormat="1" x14ac:dyDescent="0.25">
      <c r="A87"/>
      <c r="B87" s="400" t="s">
        <v>299</v>
      </c>
      <c r="E87" s="968"/>
      <c r="F87" s="405">
        <f>F66</f>
        <v>-2666978.3572946326</v>
      </c>
      <c r="G87" s="406">
        <f t="shared" ref="G87:AJ87" ca="1" si="31">SUM(G74:G85)</f>
        <v>438800.38813301938</v>
      </c>
      <c r="H87" s="406">
        <f t="shared" ca="1" si="31"/>
        <v>612445.09754791087</v>
      </c>
      <c r="I87" s="406">
        <f t="shared" ca="1" si="31"/>
        <v>400416.79612547636</v>
      </c>
      <c r="J87" s="406">
        <f t="shared" ca="1" si="31"/>
        <v>410195.33154211147</v>
      </c>
      <c r="K87" s="406">
        <f t="shared" ca="1" si="31"/>
        <v>380250.57282267185</v>
      </c>
      <c r="L87" s="406">
        <f t="shared" ca="1" si="31"/>
        <v>277682.23457351688</v>
      </c>
      <c r="M87" s="406">
        <f t="shared" ca="1" si="31"/>
        <v>343053.28094906418</v>
      </c>
      <c r="N87" s="406">
        <f t="shared" ca="1" si="31"/>
        <v>220065.17523982294</v>
      </c>
      <c r="O87" s="406">
        <f t="shared" ca="1" si="31"/>
        <v>276294.4098729837</v>
      </c>
      <c r="P87" s="406">
        <f t="shared" ca="1" si="31"/>
        <v>134997.35790051636</v>
      </c>
      <c r="Q87" s="406">
        <f t="shared" ca="1" si="31"/>
        <v>279836.54834791843</v>
      </c>
      <c r="R87" s="406">
        <f t="shared" ca="1" si="31"/>
        <v>404708.46116784407</v>
      </c>
      <c r="S87" s="406">
        <f t="shared" ca="1" si="31"/>
        <v>271502.41856753465</v>
      </c>
      <c r="T87" s="406">
        <f t="shared" ca="1" si="31"/>
        <v>377338.16299708991</v>
      </c>
      <c r="U87" s="406">
        <f t="shared" ca="1" si="31"/>
        <v>376068.77051516832</v>
      </c>
      <c r="V87" s="406">
        <f t="shared" ca="1" si="31"/>
        <v>280209.30369569181</v>
      </c>
      <c r="W87" s="406">
        <f t="shared" ca="1" si="31"/>
        <v>392525.47509685415</v>
      </c>
      <c r="X87" s="406">
        <f t="shared" ca="1" si="31"/>
        <v>291202.50214695476</v>
      </c>
      <c r="Y87" s="406">
        <f t="shared" ca="1" si="31"/>
        <v>408056.199190902</v>
      </c>
      <c r="Z87" s="406">
        <f t="shared" ca="1" si="31"/>
        <v>482624.14804165327</v>
      </c>
      <c r="AA87" s="406">
        <f t="shared" si="31"/>
        <v>0</v>
      </c>
      <c r="AB87" s="406">
        <f t="shared" si="31"/>
        <v>0</v>
      </c>
      <c r="AC87" s="406">
        <f t="shared" si="31"/>
        <v>0</v>
      </c>
      <c r="AD87" s="406">
        <f t="shared" si="31"/>
        <v>0</v>
      </c>
      <c r="AE87" s="406">
        <f t="shared" si="31"/>
        <v>0</v>
      </c>
      <c r="AF87" s="406">
        <f t="shared" si="31"/>
        <v>0</v>
      </c>
      <c r="AG87" s="406">
        <f t="shared" si="31"/>
        <v>0</v>
      </c>
      <c r="AH87" s="406">
        <f t="shared" si="31"/>
        <v>0</v>
      </c>
      <c r="AI87" s="406">
        <f t="shared" si="31"/>
        <v>0</v>
      </c>
      <c r="AJ87" s="406">
        <f t="shared" si="31"/>
        <v>0</v>
      </c>
    </row>
    <row r="88" spans="1:36" s="400" customFormat="1" x14ac:dyDescent="0.25">
      <c r="A88"/>
      <c r="B88"/>
      <c r="C88"/>
      <c r="D88" s="407"/>
      <c r="E88" s="405"/>
      <c r="F88" s="405"/>
      <c r="G88" s="406"/>
      <c r="H88" s="406"/>
      <c r="I88" s="406"/>
      <c r="J88" s="406"/>
      <c r="K88" s="406"/>
      <c r="L88" s="406"/>
      <c r="M88" s="406"/>
      <c r="N88" s="406"/>
      <c r="O88" s="406"/>
      <c r="P88" s="406"/>
      <c r="Q88" s="406"/>
      <c r="R88" s="406"/>
      <c r="S88" s="406"/>
      <c r="T88" s="406"/>
      <c r="U88" s="406"/>
      <c r="V88" s="406"/>
      <c r="W88" s="406"/>
      <c r="X88" s="406"/>
      <c r="Y88" s="406"/>
      <c r="Z88" s="406"/>
      <c r="AA88" s="406"/>
      <c r="AB88" s="406"/>
      <c r="AC88" s="406"/>
      <c r="AD88" s="406"/>
      <c r="AE88" s="406"/>
      <c r="AF88" s="406"/>
      <c r="AG88" s="406"/>
      <c r="AH88" s="406"/>
      <c r="AI88" s="406"/>
      <c r="AJ88" s="406"/>
    </row>
    <row r="89" spans="1:36" s="400" customFormat="1" x14ac:dyDescent="0.25">
      <c r="A89"/>
      <c r="B89" t="s">
        <v>286</v>
      </c>
      <c r="C89" t="s">
        <v>563</v>
      </c>
      <c r="D89" s="400" t="s">
        <v>562</v>
      </c>
      <c r="E89" s="400" t="s">
        <v>846</v>
      </c>
      <c r="F89" s="405"/>
      <c r="G89" s="406"/>
      <c r="H89" s="406"/>
      <c r="I89" s="406"/>
      <c r="J89" s="406"/>
      <c r="K89" s="406"/>
      <c r="L89" s="406"/>
      <c r="M89" s="406"/>
      <c r="N89" s="406"/>
      <c r="O89" s="406"/>
      <c r="P89" s="406"/>
      <c r="Q89" s="406"/>
      <c r="R89" s="406"/>
      <c r="S89" s="406"/>
      <c r="T89" s="406"/>
      <c r="U89" s="406"/>
      <c r="V89" s="406"/>
      <c r="W89" s="406"/>
      <c r="X89" s="406"/>
      <c r="Y89" s="406"/>
      <c r="Z89" s="406"/>
      <c r="AA89" s="406"/>
      <c r="AB89" s="406"/>
      <c r="AC89" s="406"/>
      <c r="AD89" s="406"/>
      <c r="AE89" s="406"/>
      <c r="AF89" s="406"/>
      <c r="AG89" s="406"/>
      <c r="AH89" s="406"/>
      <c r="AI89" s="406"/>
      <c r="AJ89" s="406"/>
    </row>
    <row r="90" spans="1:36" s="400" customFormat="1" x14ac:dyDescent="0.25">
      <c r="A90"/>
      <c r="B90" t="s">
        <v>287</v>
      </c>
      <c r="C90" s="408">
        <f>NPV('Financial Inputs'!$P$156,'Detailed Cash Flow'!F74:AJ74)</f>
        <v>2521908.8876103079</v>
      </c>
      <c r="D90" s="408"/>
      <c r="E90" s="409">
        <f>-PMT((1+'Financial Inputs'!$P$156)/(1+'Financial Inputs'!$G$55)-1,'Financial Inputs'!$G$24,C90)*(1+'Financial Inputs'!$G$55)</f>
        <v>258948.34388742479</v>
      </c>
      <c r="F90" s="412"/>
      <c r="G90" s="433"/>
      <c r="H90" s="433"/>
      <c r="I90" s="433"/>
      <c r="J90" s="433"/>
      <c r="K90" s="433"/>
      <c r="L90" s="433"/>
      <c r="M90" s="433"/>
      <c r="N90" s="433"/>
      <c r="O90" s="433"/>
      <c r="P90" s="433"/>
      <c r="Q90" s="433"/>
      <c r="R90" s="433"/>
      <c r="S90" s="433"/>
      <c r="T90" s="433"/>
      <c r="U90" s="433"/>
      <c r="V90" s="433"/>
      <c r="W90" s="433"/>
      <c r="X90" s="433"/>
      <c r="Y90" s="433"/>
      <c r="Z90" s="433"/>
      <c r="AA90" s="406"/>
      <c r="AB90" s="406"/>
      <c r="AC90" s="406"/>
      <c r="AD90" s="406"/>
      <c r="AE90" s="406"/>
      <c r="AF90" s="406"/>
      <c r="AG90" s="406"/>
      <c r="AH90" s="406"/>
      <c r="AI90" s="406"/>
      <c r="AJ90" s="406"/>
    </row>
    <row r="91" spans="1:36" s="400" customFormat="1" x14ac:dyDescent="0.25">
      <c r="A91"/>
      <c r="B91" t="s">
        <v>265</v>
      </c>
      <c r="C91" s="408">
        <f>NPV('Financial Inputs'!$P$156,'Detailed Cash Flow'!F75:AJ75)</f>
        <v>1777375.2288949569</v>
      </c>
      <c r="D91" s="408"/>
      <c r="E91" s="409">
        <f>-PMT((1+'Financial Inputs'!$P$156)/(1+'Financial Inputs'!$G$55)-1,'Financial Inputs'!$G$24,C91)*(1+'Financial Inputs'!$G$55)</f>
        <v>182500.00000000017</v>
      </c>
      <c r="F91" s="412"/>
      <c r="I91" s="406"/>
      <c r="J91" s="406"/>
      <c r="K91" s="406"/>
      <c r="L91" s="406"/>
      <c r="M91" s="406"/>
      <c r="N91" s="406"/>
      <c r="O91" s="406"/>
      <c r="P91" s="406"/>
      <c r="Q91" s="406"/>
      <c r="R91" s="406"/>
      <c r="S91" s="406"/>
      <c r="T91" s="406"/>
      <c r="U91" s="406"/>
      <c r="V91" s="406"/>
      <c r="W91" s="406"/>
      <c r="X91" s="406"/>
      <c r="Y91" s="406"/>
      <c r="Z91" s="406"/>
      <c r="AA91" s="406"/>
      <c r="AB91" s="406"/>
      <c r="AC91" s="406"/>
      <c r="AD91" s="406"/>
      <c r="AE91" s="406"/>
      <c r="AF91" s="406"/>
      <c r="AG91" s="406"/>
      <c r="AH91" s="406"/>
      <c r="AI91" s="406"/>
      <c r="AJ91" s="406"/>
    </row>
    <row r="92" spans="1:36" s="400" customFormat="1" x14ac:dyDescent="0.25">
      <c r="A92"/>
      <c r="B92" t="s">
        <v>288</v>
      </c>
      <c r="C92" s="408">
        <f>NPV('Financial Inputs'!$P$156,'Detailed Cash Flow'!F76:AJ76)</f>
        <v>414655.14340511861</v>
      </c>
      <c r="D92" s="408"/>
      <c r="E92" s="409">
        <f>-PMT((1+'Financial Inputs'!$P$156)/(1+'Financial Inputs'!$G$55)-1,'Financial Inputs'!$G$24,C92)*(1+'Financial Inputs'!$G$55)</f>
        <v>42576.582840351155</v>
      </c>
      <c r="F92" s="412"/>
      <c r="I92" s="406"/>
      <c r="J92" s="406"/>
      <c r="K92" s="406"/>
      <c r="L92" s="406"/>
      <c r="M92" s="406"/>
      <c r="N92" s="406"/>
      <c r="O92" s="406"/>
      <c r="P92" s="406"/>
      <c r="Q92" s="406"/>
      <c r="R92" s="406"/>
      <c r="S92" s="406"/>
      <c r="T92" s="406"/>
      <c r="U92" s="406"/>
      <c r="V92" s="406"/>
      <c r="W92" s="406"/>
      <c r="X92" s="406"/>
      <c r="Y92" s="406"/>
      <c r="Z92" s="406"/>
      <c r="AA92" s="406"/>
      <c r="AB92" s="406"/>
      <c r="AC92" s="406"/>
      <c r="AD92" s="406"/>
      <c r="AE92" s="406"/>
      <c r="AF92" s="406"/>
      <c r="AG92" s="406"/>
      <c r="AH92" s="406"/>
      <c r="AI92" s="406"/>
      <c r="AJ92" s="406"/>
    </row>
    <row r="93" spans="1:36" s="400" customFormat="1" x14ac:dyDescent="0.25">
      <c r="A93"/>
      <c r="B93" t="str">
        <f>B18</f>
        <v>Nutrient value</v>
      </c>
      <c r="C93" s="408">
        <f>NPV('Financial Inputs'!$P$156,'Detailed Cash Flow'!F77:AJ77)</f>
        <v>631458.06999397068</v>
      </c>
      <c r="D93" s="408"/>
      <c r="E93" s="409">
        <f>-PMT((1+'Financial Inputs'!$P$156)/(1+'Financial Inputs'!$G$55)-1,'Financial Inputs'!$G$24,C93)*(1+'Financial Inputs'!$G$55)</f>
        <v>64837.798963558373</v>
      </c>
      <c r="F93" s="412"/>
      <c r="I93" s="406"/>
      <c r="J93" s="406"/>
      <c r="K93" s="406"/>
      <c r="L93" s="406"/>
      <c r="M93" s="406"/>
      <c r="N93" s="406"/>
      <c r="O93" s="406"/>
      <c r="P93" s="406"/>
      <c r="Q93" s="406"/>
      <c r="R93" s="406"/>
      <c r="S93" s="406"/>
      <c r="T93" s="406"/>
      <c r="U93" s="406"/>
      <c r="V93" s="406"/>
      <c r="W93" s="406"/>
      <c r="X93" s="406"/>
      <c r="Y93" s="406"/>
      <c r="Z93" s="406"/>
      <c r="AA93" s="406"/>
      <c r="AB93" s="406"/>
      <c r="AC93" s="406"/>
      <c r="AD93" s="406"/>
      <c r="AE93" s="406"/>
      <c r="AF93" s="406"/>
      <c r="AG93" s="406"/>
      <c r="AH93" s="406"/>
      <c r="AI93" s="406"/>
      <c r="AJ93" s="406"/>
    </row>
    <row r="94" spans="1:36" s="400" customFormat="1" x14ac:dyDescent="0.25">
      <c r="A94"/>
      <c r="B94" t="s">
        <v>439</v>
      </c>
      <c r="C94" s="408">
        <f>NPV('Financial Inputs'!$P$156,'Detailed Cash Flow'!F78:AJ78)</f>
        <v>1220791.1531735472</v>
      </c>
      <c r="D94" s="408"/>
      <c r="E94" s="409">
        <f>-PMT((1+'Financial Inputs'!$P$156)/(1+'Financial Inputs'!$G$55)-1,'Financial Inputs'!$G$24,C94)*(1+'Financial Inputs'!$G$55)</f>
        <v>125350.22533913112</v>
      </c>
      <c r="F94" s="412"/>
      <c r="I94" s="406"/>
      <c r="J94" s="406"/>
      <c r="K94" s="406"/>
      <c r="L94" s="406"/>
      <c r="M94" s="406"/>
      <c r="N94" s="406"/>
      <c r="O94" s="406"/>
      <c r="P94" s="406"/>
      <c r="Q94" s="406"/>
      <c r="R94" s="406"/>
      <c r="S94" s="406"/>
      <c r="T94" s="406"/>
      <c r="U94" s="406"/>
      <c r="V94" s="406"/>
      <c r="W94" s="406"/>
      <c r="X94" s="406"/>
      <c r="Y94" s="406"/>
      <c r="Z94" s="406"/>
      <c r="AA94" s="406"/>
      <c r="AB94" s="406"/>
      <c r="AC94" s="406"/>
      <c r="AD94" s="406"/>
      <c r="AE94" s="406"/>
      <c r="AF94" s="406"/>
      <c r="AG94" s="406"/>
      <c r="AH94" s="406"/>
      <c r="AI94" s="406"/>
      <c r="AJ94" s="406"/>
    </row>
    <row r="95" spans="1:36" s="400" customFormat="1" x14ac:dyDescent="0.25">
      <c r="A95"/>
      <c r="B95" s="411" t="s">
        <v>289</v>
      </c>
      <c r="C95" s="408">
        <f>NPV('Financial Inputs'!$P$156,'Detailed Cash Flow'!F79:AJ79)</f>
        <v>543434.57637405267</v>
      </c>
      <c r="D95" s="408"/>
      <c r="E95" s="409">
        <f>-PMT((1+'Financial Inputs'!$P$156)/(1+'Financial Inputs'!$G$55)-1,'Financial Inputs'!$G$24,C95)*(1+'Financial Inputs'!$G$55)</f>
        <v>55799.590641265808</v>
      </c>
      <c r="F95" s="412"/>
      <c r="I95" s="406"/>
      <c r="J95" s="406"/>
      <c r="K95" s="406"/>
      <c r="L95" s="406"/>
      <c r="M95" s="406"/>
      <c r="N95" s="406"/>
      <c r="O95" s="406"/>
      <c r="P95" s="406"/>
      <c r="Q95" s="406"/>
      <c r="R95" s="406"/>
      <c r="S95" s="406"/>
      <c r="T95" s="406"/>
      <c r="U95" s="406"/>
      <c r="V95" s="406"/>
      <c r="W95" s="406"/>
      <c r="X95" s="406"/>
      <c r="Y95" s="406"/>
      <c r="Z95" s="406"/>
      <c r="AA95" s="406"/>
      <c r="AB95" s="406"/>
      <c r="AC95" s="406"/>
      <c r="AD95" s="406"/>
      <c r="AE95" s="406"/>
      <c r="AF95" s="406"/>
      <c r="AG95" s="406"/>
      <c r="AH95" s="406"/>
      <c r="AI95" s="406"/>
      <c r="AJ95" s="406"/>
    </row>
    <row r="96" spans="1:36" s="400" customFormat="1" x14ac:dyDescent="0.25">
      <c r="A96"/>
      <c r="B96" t="s">
        <v>297</v>
      </c>
      <c r="C96" s="409">
        <f>SUM(C90:C95)</f>
        <v>7109623.0594519554</v>
      </c>
      <c r="D96" s="408"/>
      <c r="E96" s="409">
        <f>-PMT((1+'Financial Inputs'!$P$156)/(1+'Financial Inputs'!$G$55)-1,'Financial Inputs'!$G$24,C96)*(1+'Financial Inputs'!$G$55)</f>
        <v>730012.54167173163</v>
      </c>
      <c r="F96" s="409"/>
      <c r="I96" s="406"/>
      <c r="J96" s="406"/>
      <c r="K96" s="406"/>
      <c r="L96" s="406"/>
      <c r="M96" s="406"/>
      <c r="N96" s="406"/>
      <c r="O96" s="406"/>
      <c r="P96" s="406"/>
      <c r="Q96" s="406"/>
      <c r="R96" s="406"/>
      <c r="S96" s="406"/>
      <c r="T96" s="406"/>
      <c r="U96" s="406"/>
      <c r="V96" s="406"/>
      <c r="W96" s="406"/>
      <c r="X96" s="406"/>
      <c r="Y96" s="406"/>
      <c r="Z96" s="406"/>
      <c r="AA96" s="406"/>
      <c r="AB96" s="406"/>
      <c r="AC96" s="406"/>
      <c r="AD96" s="406"/>
      <c r="AE96" s="406"/>
      <c r="AF96" s="406"/>
      <c r="AG96" s="406"/>
      <c r="AH96" s="406"/>
      <c r="AI96" s="406"/>
      <c r="AJ96" s="406"/>
    </row>
    <row r="97" spans="1:36" s="400" customFormat="1" x14ac:dyDescent="0.25">
      <c r="A97"/>
      <c r="B97" s="400" t="s">
        <v>290</v>
      </c>
      <c r="C97" s="408"/>
      <c r="D97" s="408">
        <f>-NPV('Financial Inputs'!$P$156,'Detailed Cash Flow'!F81:AJ81)</f>
        <v>2367689.1616780269</v>
      </c>
      <c r="E97" s="409"/>
      <c r="F97" s="409">
        <f>-PMT((1+'Financial Inputs'!$P$156)/(1+'Financial Inputs'!$G$55)-1,'Financial Inputs'!$G$24,D97)*(1+'Financial Inputs'!$G$55)</f>
        <v>243113.13952253672</v>
      </c>
      <c r="I97" s="406"/>
      <c r="J97" s="406"/>
      <c r="K97" s="406"/>
      <c r="L97" s="406"/>
      <c r="M97" s="406"/>
      <c r="N97" s="406"/>
      <c r="O97" s="406"/>
      <c r="P97" s="406"/>
      <c r="Q97" s="406"/>
      <c r="R97" s="406"/>
      <c r="S97" s="406"/>
      <c r="T97" s="406"/>
      <c r="U97" s="406"/>
      <c r="V97" s="406"/>
      <c r="W97" s="406"/>
      <c r="X97" s="406"/>
      <c r="Y97" s="406"/>
      <c r="Z97" s="406"/>
      <c r="AA97" s="406"/>
      <c r="AB97" s="406"/>
      <c r="AC97" s="406"/>
      <c r="AD97" s="406"/>
      <c r="AE97" s="406"/>
      <c r="AF97" s="406"/>
      <c r="AG97" s="406"/>
      <c r="AH97" s="406"/>
      <c r="AI97" s="406"/>
      <c r="AJ97" s="406"/>
    </row>
    <row r="98" spans="1:36" s="400" customFormat="1" x14ac:dyDescent="0.25">
      <c r="A98"/>
      <c r="B98" s="400" t="s">
        <v>352</v>
      </c>
      <c r="C98" s="408"/>
      <c r="D98" s="408">
        <f>-F87</f>
        <v>2666978.3572946326</v>
      </c>
      <c r="E98" s="409"/>
      <c r="F98" s="409">
        <f>-PMT((1+'Financial Inputs'!$P$156)/(1+'Financial Inputs'!$G$55)-1,'Financial Inputs'!$G$24,D98)*(1+'Financial Inputs'!$G$55)</f>
        <v>273844.00451495004</v>
      </c>
      <c r="I98" s="406"/>
      <c r="J98" s="406"/>
      <c r="K98" s="406"/>
      <c r="L98" s="406"/>
      <c r="M98" s="406"/>
      <c r="N98" s="406"/>
      <c r="O98" s="406"/>
      <c r="P98" s="406"/>
      <c r="Q98" s="406"/>
      <c r="R98" s="406"/>
      <c r="S98" s="406"/>
      <c r="T98" s="406"/>
      <c r="U98" s="406"/>
      <c r="V98" s="406"/>
      <c r="W98" s="406"/>
      <c r="X98" s="406"/>
      <c r="Y98" s="406"/>
      <c r="Z98" s="406"/>
      <c r="AA98" s="406"/>
      <c r="AB98" s="406"/>
      <c r="AC98" s="406"/>
      <c r="AD98" s="406"/>
      <c r="AE98" s="406"/>
      <c r="AF98" s="406"/>
      <c r="AG98" s="406"/>
      <c r="AH98" s="406"/>
      <c r="AI98" s="406"/>
      <c r="AJ98" s="406"/>
    </row>
    <row r="99" spans="1:36" s="400" customFormat="1" x14ac:dyDescent="0.25">
      <c r="A99"/>
      <c r="B99" s="108" t="s">
        <v>69</v>
      </c>
      <c r="C99" s="408"/>
      <c r="D99" s="408">
        <f>-NPV('Financial Inputs'!$P$156,'Detailed Cash Flow'!F82:AJ82)</f>
        <v>305395.91277236619</v>
      </c>
      <c r="E99" s="409"/>
      <c r="F99" s="409">
        <f>-PMT((1+'Financial Inputs'!$P$156)/(1+'Financial Inputs'!$G$55)-1,'Financial Inputs'!$G$24,D99)*(1+'Financial Inputs'!$G$55)</f>
        <v>31357.899657242728</v>
      </c>
      <c r="I99" s="406"/>
      <c r="J99" s="406"/>
      <c r="K99" s="406"/>
      <c r="L99" s="406"/>
      <c r="M99" s="406"/>
      <c r="N99" s="406"/>
      <c r="O99" s="406"/>
      <c r="P99" s="406"/>
      <c r="Q99" s="406"/>
      <c r="R99" s="406"/>
      <c r="S99" s="406"/>
      <c r="T99" s="406"/>
      <c r="U99" s="406"/>
      <c r="V99" s="406"/>
      <c r="W99" s="406"/>
      <c r="X99" s="406"/>
      <c r="Y99" s="406"/>
      <c r="Z99" s="406"/>
      <c r="AA99" s="406"/>
      <c r="AB99" s="406"/>
      <c r="AC99" s="406"/>
      <c r="AD99" s="406"/>
      <c r="AE99" s="406"/>
      <c r="AF99" s="406"/>
      <c r="AG99" s="406"/>
      <c r="AH99" s="406"/>
      <c r="AI99" s="406"/>
      <c r="AJ99" s="406"/>
    </row>
    <row r="100" spans="1:36" s="400" customFormat="1" x14ac:dyDescent="0.25">
      <c r="A100"/>
      <c r="B100" s="400" t="s">
        <v>70</v>
      </c>
      <c r="C100" s="412"/>
      <c r="D100" s="408">
        <f>-NPV('Financial Inputs'!$P$156,'Detailed Cash Flow'!F83:AJ83)</f>
        <v>510409.88121340598</v>
      </c>
      <c r="E100" s="412"/>
      <c r="F100" s="409">
        <f>-PMT((1+'Financial Inputs'!$P$156)/(1+'Financial Inputs'!$G$55)-1,'Financial Inputs'!$G$24,D100)*(1+'Financial Inputs'!$G$55)</f>
        <v>52408.631451086709</v>
      </c>
      <c r="I100" s="406"/>
      <c r="J100" s="406"/>
      <c r="K100" s="406"/>
      <c r="L100" s="406"/>
      <c r="M100" s="406"/>
      <c r="N100" s="406"/>
      <c r="O100" s="406"/>
      <c r="P100" s="406"/>
      <c r="Q100" s="406"/>
      <c r="R100" s="406"/>
      <c r="S100" s="406"/>
      <c r="T100" s="406"/>
      <c r="U100" s="406"/>
      <c r="V100" s="406"/>
      <c r="W100" s="406"/>
      <c r="X100" s="406"/>
      <c r="Y100" s="406"/>
      <c r="Z100" s="406"/>
      <c r="AA100" s="406"/>
      <c r="AB100" s="406"/>
      <c r="AC100" s="406"/>
      <c r="AD100" s="406"/>
      <c r="AE100" s="406"/>
      <c r="AF100" s="406"/>
      <c r="AG100" s="406"/>
      <c r="AH100" s="406"/>
      <c r="AI100" s="406"/>
      <c r="AJ100" s="406"/>
    </row>
    <row r="101" spans="1:36" s="400" customFormat="1" x14ac:dyDescent="0.25">
      <c r="A101"/>
      <c r="B101" s="400" t="s">
        <v>353</v>
      </c>
      <c r="C101" s="408"/>
      <c r="D101" s="408">
        <f>-NPV('Financial Inputs'!$P$156,'Detailed Cash Flow'!F84:AJ84)</f>
        <v>385343.12474753469</v>
      </c>
      <c r="E101" s="409"/>
      <c r="F101" s="409">
        <f>-PMT((1+'Financial Inputs'!$P$156)/(1+'Financial Inputs'!$G$55)-1,'Financial Inputs'!$G$24,D101)*(1+'Financial Inputs'!$G$55)</f>
        <v>39566.839417554052</v>
      </c>
      <c r="I101" s="406"/>
      <c r="J101" s="406"/>
      <c r="K101" s="406"/>
      <c r="L101" s="406"/>
      <c r="M101" s="406"/>
      <c r="N101" s="406"/>
      <c r="O101" s="406"/>
      <c r="P101" s="406"/>
      <c r="Q101" s="406"/>
      <c r="R101" s="406"/>
      <c r="S101" s="406"/>
      <c r="T101" s="406"/>
      <c r="U101" s="406"/>
      <c r="V101" s="406"/>
      <c r="W101" s="406"/>
      <c r="X101" s="406"/>
      <c r="Y101" s="406"/>
      <c r="Z101" s="406"/>
      <c r="AA101" s="406"/>
      <c r="AB101" s="406"/>
      <c r="AC101" s="406"/>
      <c r="AD101" s="406"/>
      <c r="AE101" s="406"/>
      <c r="AF101" s="406"/>
      <c r="AG101" s="406"/>
      <c r="AH101" s="406"/>
      <c r="AI101" s="406"/>
      <c r="AJ101" s="406"/>
    </row>
    <row r="102" spans="1:36" s="400" customFormat="1" x14ac:dyDescent="0.25">
      <c r="A102"/>
      <c r="B102" s="400" t="s">
        <v>291</v>
      </c>
      <c r="C102" s="408"/>
      <c r="D102" s="408">
        <f ca="1">-NPV('Financial Inputs'!$P$156,'Detailed Cash Flow'!F85:AJ85)</f>
        <v>389392.22314210783</v>
      </c>
      <c r="E102" s="409"/>
      <c r="F102" s="409">
        <f ca="1">-PMT((1+'Financial Inputs'!$P$156)/(1+'Financial Inputs'!$G$55)-1,'Financial Inputs'!$G$24,D102)*(1+'Financial Inputs'!$G$55)</f>
        <v>39982.598816580365</v>
      </c>
      <c r="H102" s="996"/>
      <c r="I102" s="406"/>
      <c r="J102" s="406"/>
      <c r="K102" s="406"/>
      <c r="L102" s="406"/>
      <c r="M102" s="406"/>
      <c r="N102" s="406"/>
      <c r="O102" s="406"/>
      <c r="P102" s="406"/>
      <c r="Q102" s="406"/>
      <c r="R102" s="406"/>
      <c r="S102" s="406"/>
      <c r="T102" s="406"/>
      <c r="U102" s="406"/>
      <c r="V102" s="406"/>
      <c r="W102" s="406"/>
      <c r="X102" s="406"/>
      <c r="Y102" s="406"/>
      <c r="Z102" s="406"/>
      <c r="AA102" s="406"/>
      <c r="AB102" s="406"/>
      <c r="AC102" s="406"/>
      <c r="AD102" s="406"/>
      <c r="AE102" s="406"/>
      <c r="AF102" s="406"/>
      <c r="AG102" s="406"/>
      <c r="AH102" s="406"/>
      <c r="AI102" s="406"/>
      <c r="AJ102" s="406"/>
    </row>
    <row r="103" spans="1:36" s="400" customFormat="1" x14ac:dyDescent="0.25">
      <c r="A103"/>
      <c r="B103" s="400" t="s">
        <v>298</v>
      </c>
      <c r="C103" s="408"/>
      <c r="D103" s="409">
        <f ca="1">SUM(D97:D102)</f>
        <v>6625208.6608480737</v>
      </c>
      <c r="E103" s="409"/>
      <c r="F103" s="409">
        <f ca="1">-PMT((1+'Financial Inputs'!$P$156)/(1+'Financial Inputs'!$G$55)-1,'Financial Inputs'!$G$24,D103)*(1+'Financial Inputs'!$G$55)</f>
        <v>680273.11337995064</v>
      </c>
      <c r="I103" s="406"/>
      <c r="J103" s="406"/>
      <c r="K103" s="406"/>
      <c r="L103" s="406"/>
      <c r="M103" s="406"/>
      <c r="N103" s="406"/>
      <c r="O103" s="406"/>
      <c r="P103" s="406"/>
      <c r="Q103" s="406"/>
      <c r="R103" s="406"/>
      <c r="S103" s="406"/>
      <c r="T103" s="406"/>
      <c r="U103" s="406"/>
      <c r="V103" s="406"/>
      <c r="W103" s="406"/>
      <c r="X103" s="406"/>
      <c r="Y103" s="406"/>
      <c r="Z103" s="406"/>
      <c r="AA103" s="406"/>
      <c r="AB103" s="406"/>
      <c r="AC103" s="406"/>
      <c r="AD103" s="406"/>
      <c r="AE103" s="406"/>
      <c r="AF103" s="406"/>
      <c r="AG103" s="406"/>
      <c r="AH103" s="406"/>
      <c r="AI103" s="406"/>
      <c r="AJ103" s="406"/>
    </row>
    <row r="104" spans="1:36" s="400" customFormat="1" x14ac:dyDescent="0.25">
      <c r="A104"/>
      <c r="B104" s="400" t="s">
        <v>299</v>
      </c>
      <c r="C104" s="408"/>
      <c r="D104" s="409">
        <f ca="1">C96-D103</f>
        <v>484414.39860388171</v>
      </c>
      <c r="E104" s="409"/>
      <c r="F104" s="409">
        <f ca="1">E96-F103</f>
        <v>49739.428291780991</v>
      </c>
      <c r="G104" s="405"/>
      <c r="I104" s="406"/>
      <c r="J104" s="406"/>
      <c r="K104" s="406"/>
      <c r="L104" s="406"/>
      <c r="M104" s="406"/>
      <c r="N104" s="406"/>
      <c r="O104" s="406"/>
      <c r="P104" s="406"/>
      <c r="Q104" s="406"/>
      <c r="R104" s="406"/>
      <c r="S104" s="406"/>
      <c r="T104" s="406"/>
      <c r="U104" s="406"/>
      <c r="V104" s="406"/>
      <c r="W104" s="406"/>
      <c r="X104" s="406"/>
      <c r="Y104" s="406"/>
      <c r="Z104" s="406"/>
      <c r="AA104" s="406"/>
      <c r="AB104" s="406"/>
      <c r="AC104" s="406"/>
      <c r="AD104" s="406"/>
      <c r="AE104" s="406"/>
      <c r="AF104" s="406"/>
      <c r="AG104" s="406"/>
      <c r="AH104" s="406"/>
      <c r="AI104" s="406"/>
      <c r="AJ104" s="406"/>
    </row>
    <row r="105" spans="1:36" s="400" customFormat="1" x14ac:dyDescent="0.25">
      <c r="A105"/>
      <c r="B105"/>
      <c r="C105"/>
      <c r="D105" s="407"/>
      <c r="E105" s="405"/>
      <c r="F105" s="405"/>
      <c r="G105" s="406"/>
      <c r="H105" s="406"/>
      <c r="I105" s="406"/>
      <c r="J105" s="406"/>
      <c r="K105" s="406"/>
      <c r="L105" s="406"/>
      <c r="M105" s="406"/>
      <c r="N105" s="406"/>
      <c r="O105" s="406"/>
      <c r="P105" s="406"/>
      <c r="Q105" s="406"/>
      <c r="R105" s="406"/>
      <c r="S105" s="406"/>
      <c r="T105" s="406"/>
      <c r="U105" s="406"/>
      <c r="V105" s="406"/>
      <c r="W105" s="406"/>
      <c r="X105" s="406"/>
      <c r="Y105" s="406"/>
      <c r="Z105" s="406"/>
      <c r="AA105" s="406"/>
      <c r="AB105" s="406"/>
      <c r="AC105" s="406"/>
      <c r="AD105" s="406"/>
      <c r="AE105" s="406"/>
      <c r="AF105" s="406"/>
      <c r="AG105" s="406"/>
      <c r="AH105" s="406"/>
      <c r="AI105" s="406"/>
      <c r="AJ105" s="406"/>
    </row>
    <row r="106" spans="1:36" s="1" customFormat="1" ht="15.75" x14ac:dyDescent="0.25">
      <c r="B106" s="31"/>
      <c r="C106" s="31"/>
      <c r="D106" s="31"/>
      <c r="E106" s="32"/>
      <c r="F106" s="32"/>
      <c r="G106" s="33"/>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row>
    <row r="107" spans="1:36" s="1" customFormat="1" x14ac:dyDescent="0.2">
      <c r="B107" s="34" t="s">
        <v>54</v>
      </c>
      <c r="C107" s="34"/>
      <c r="D107" s="34"/>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row>
    <row r="108" spans="1:36" s="1" customFormat="1" ht="15.75" thickBot="1" x14ac:dyDescent="0.25">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row>
    <row r="109" spans="1:36" s="1" customFormat="1" x14ac:dyDescent="0.2"/>
    <row r="110" spans="1:36" s="1" customFormat="1" ht="15.75" x14ac:dyDescent="0.25">
      <c r="B110" t="s">
        <v>516</v>
      </c>
      <c r="D110"/>
      <c r="E110"/>
      <c r="F110"/>
      <c r="G110"/>
      <c r="H110"/>
      <c r="I110"/>
      <c r="J110"/>
      <c r="K110"/>
      <c r="L110"/>
      <c r="M110"/>
      <c r="N110"/>
      <c r="O110"/>
      <c r="P110"/>
      <c r="Q110"/>
      <c r="R110" s="417"/>
      <c r="S110"/>
      <c r="T110"/>
      <c r="U110"/>
      <c r="V110"/>
      <c r="W110"/>
      <c r="X110"/>
      <c r="Y110"/>
      <c r="Z110"/>
      <c r="AA110"/>
      <c r="AB110"/>
      <c r="AC110"/>
      <c r="AD110"/>
      <c r="AE110"/>
      <c r="AF110"/>
      <c r="AG110"/>
      <c r="AH110"/>
    </row>
    <row r="111" spans="1:36" s="1" customFormat="1" ht="15.75" x14ac:dyDescent="0.25">
      <c r="B111" s="449" t="s">
        <v>557</v>
      </c>
      <c r="C111" s="418">
        <f>Switchgrass_Budget!G61</f>
        <v>0</v>
      </c>
      <c r="D111"/>
      <c r="E111"/>
      <c r="F111"/>
      <c r="G111"/>
      <c r="H111"/>
      <c r="I111"/>
      <c r="J111"/>
      <c r="K111"/>
      <c r="L111"/>
      <c r="M111"/>
      <c r="N111"/>
      <c r="O111"/>
      <c r="P111"/>
      <c r="Q111"/>
      <c r="R111"/>
      <c r="S111"/>
      <c r="T111"/>
      <c r="U111"/>
      <c r="V111"/>
      <c r="W111"/>
      <c r="X111"/>
      <c r="Y111"/>
      <c r="Z111"/>
      <c r="AA111"/>
      <c r="AB111"/>
      <c r="AC111"/>
      <c r="AD111"/>
      <c r="AE111"/>
      <c r="AF111"/>
      <c r="AG111"/>
      <c r="AH111"/>
    </row>
    <row r="112" spans="1:36" s="1" customFormat="1" ht="15.75" x14ac:dyDescent="0.25">
      <c r="B112" s="416" t="s">
        <v>554</v>
      </c>
      <c r="F112" s="575">
        <f>SUM(G112:AJ112)</f>
        <v>4014.764999999999</v>
      </c>
      <c r="G112" s="409">
        <f>IF($C$111=0,Switchgrass_Budget!$L$54,Switchgrass_Budget!$H$54)</f>
        <v>396.9231666666667</v>
      </c>
      <c r="H112" s="409">
        <f>IF($C$111=0,Switchgrass_Budget!$P$54,Switchgrass_Budget!$L$54)</f>
        <v>314.98983333333337</v>
      </c>
      <c r="I112" s="409">
        <f>IF($C$111=0,IF(I2&lt;=Switchgrass_Key_Inputs!$D$24,Switchgrass_Budget!$R$54,0),Switchgrass_Budget!$P$54)</f>
        <v>412.85649999999998</v>
      </c>
      <c r="J112" s="409">
        <f>IF($C$111=0,IF(J2&lt;=Switchgrass_Key_Inputs!$D$24,Switchgrass_Budget!$R$54,0),IF(J2&lt;=Switchgrass_Key_Inputs!$D$24+1,Switchgrass_Budget!$R$54,0))</f>
        <v>412.85649999999998</v>
      </c>
      <c r="K112" s="409">
        <f>IF($C$111=0,IF(K2&lt;=Switchgrass_Key_Inputs!$D$24,Switchgrass_Budget!$R$54,0),IF(K2&lt;=Switchgrass_Key_Inputs!$D$24+1,Switchgrass_Budget!$R$54,0))</f>
        <v>412.85649999999998</v>
      </c>
      <c r="L112" s="409">
        <f>IF($C$111=0,IF(L2&lt;=Switchgrass_Key_Inputs!$D$24,Switchgrass_Budget!$R$54,0),IF(L2&lt;=Switchgrass_Key_Inputs!$D$24+1,Switchgrass_Budget!$R$54,0))</f>
        <v>412.85649999999998</v>
      </c>
      <c r="M112" s="409">
        <f>IF($C$111=0,IF(M2&lt;=Switchgrass_Key_Inputs!$D$24,Switchgrass_Budget!$R$54,0),IF(M2&lt;=Switchgrass_Key_Inputs!$D$24+1,Switchgrass_Budget!$R$54,0))</f>
        <v>412.85649999999998</v>
      </c>
      <c r="N112" s="409">
        <f>IF($C$111=0,IF(N2&lt;=Switchgrass_Key_Inputs!$D$24,Switchgrass_Budget!$R$54,0),IF(N2&lt;=Switchgrass_Key_Inputs!$D$24+1,Switchgrass_Budget!$R$54,0))</f>
        <v>412.85649999999998</v>
      </c>
      <c r="O112" s="409">
        <f>IF($C$111=0,IF(O2&lt;=Switchgrass_Key_Inputs!$D$24,Switchgrass_Budget!$R$54,0),IF(O2&lt;=Switchgrass_Key_Inputs!$D$24+1,Switchgrass_Budget!$R$54,0))</f>
        <v>412.85649999999998</v>
      </c>
      <c r="P112" s="409">
        <f>IF($C$111=0,IF(P2&lt;=Switchgrass_Key_Inputs!$D$24,Switchgrass_Budget!$R$54,0),IF(P2&lt;=Switchgrass_Key_Inputs!$D$24+1,Switchgrass_Budget!$R$54,0))</f>
        <v>412.85649999999998</v>
      </c>
      <c r="Q112" s="409">
        <f>IF($C$111=0,IF(Q2&lt;=Switchgrass_Key_Inputs!$D$24,Switchgrass_Budget!$R$54,0),IF(Q2&lt;=Switchgrass_Key_Inputs!$D$24+1,Switchgrass_Budget!$R$54,0))</f>
        <v>0</v>
      </c>
      <c r="R112" s="409">
        <f>IF($C$111=0,IF(R2&lt;=Switchgrass_Key_Inputs!$D$24,Switchgrass_Budget!$R$54,0),IF(R2&lt;=Switchgrass_Key_Inputs!$D$24+1,Switchgrass_Budget!$R$54,0))</f>
        <v>0</v>
      </c>
      <c r="S112" s="409">
        <f>IF($C$111=0,IF(S2&lt;=Switchgrass_Key_Inputs!$D$24,Switchgrass_Budget!$R$54,0),IF(S2&lt;=Switchgrass_Key_Inputs!$D$24+1,Switchgrass_Budget!$R$54,0))</f>
        <v>0</v>
      </c>
      <c r="T112" s="409">
        <f>IF($C$111=0,IF(T2&lt;=Switchgrass_Key_Inputs!$D$24,Switchgrass_Budget!$R$54,0),IF(T2&lt;=Switchgrass_Key_Inputs!$D$24+1,Switchgrass_Budget!$R$54,0))</f>
        <v>0</v>
      </c>
      <c r="U112" s="409">
        <f>IF($C$111=0,IF(U2&lt;=Switchgrass_Key_Inputs!$D$24,Switchgrass_Budget!$R$54,0),IF(U2&lt;=Switchgrass_Key_Inputs!$D$24+1,Switchgrass_Budget!$R$54,0))</f>
        <v>0</v>
      </c>
      <c r="V112" s="409">
        <f>IF($C$111=0,IF(V2&lt;=Switchgrass_Key_Inputs!$D$24,Switchgrass_Budget!$R$54,0),IF(V2&lt;=Switchgrass_Key_Inputs!$D$24+1,Switchgrass_Budget!$R$54,0))</f>
        <v>0</v>
      </c>
      <c r="W112" s="409">
        <f>IF($C$111=0,IF(W2&lt;=Switchgrass_Key_Inputs!$D$24,Switchgrass_Budget!$R$54,0),IF(W2&lt;=Switchgrass_Key_Inputs!$D$24+1,Switchgrass_Budget!$R$54,0))</f>
        <v>0</v>
      </c>
      <c r="X112" s="409">
        <f>IF($C$111=0,IF(X2&lt;=Switchgrass_Key_Inputs!$D$24,Switchgrass_Budget!$R$54,0),IF(X2&lt;=Switchgrass_Key_Inputs!$D$24+1,Switchgrass_Budget!$R$54,0))</f>
        <v>0</v>
      </c>
      <c r="Y112" s="409">
        <f>IF($C$111=0,IF(Y2&lt;=Switchgrass_Key_Inputs!$D$24,Switchgrass_Budget!$R$54,0),IF(Y2&lt;=Switchgrass_Key_Inputs!$D$24+1,Switchgrass_Budget!$R$54,0))</f>
        <v>0</v>
      </c>
      <c r="Z112" s="409">
        <f>IF($C$111=0,IF(Z2&lt;=Switchgrass_Key_Inputs!$D$24,Switchgrass_Budget!$R$54,0),IF(Z2&lt;=Switchgrass_Key_Inputs!$D$24+1,Switchgrass_Budget!$R$54,0))</f>
        <v>0</v>
      </c>
      <c r="AA112" s="409">
        <f>IF($C$111=0,IF(AA2&lt;=Switchgrass_Key_Inputs!$D$24,Switchgrass_Budget!$R$54,0),IF(AA2&lt;=Switchgrass_Key_Inputs!$D$24+1,Switchgrass_Budget!$R$54,0))</f>
        <v>0</v>
      </c>
      <c r="AB112" s="409">
        <f>IF($C$111=0,IF(AB2&lt;=Switchgrass_Key_Inputs!$D$24,Switchgrass_Budget!$R$54,0),IF(AB2&lt;=Switchgrass_Key_Inputs!$D$24+1,Switchgrass_Budget!$R$54,0))</f>
        <v>0</v>
      </c>
      <c r="AC112" s="409">
        <f>IF($C$111=0,IF(AC2&lt;=Switchgrass_Key_Inputs!$D$24,Switchgrass_Budget!$R$54,0),IF(AC2&lt;=Switchgrass_Key_Inputs!$D$24+1,Switchgrass_Budget!$R$54,0))</f>
        <v>0</v>
      </c>
      <c r="AD112" s="409">
        <f>IF($C$111=0,IF(AD2&lt;=Switchgrass_Key_Inputs!$D$24,Switchgrass_Budget!$R$54,0),IF(AD2&lt;=Switchgrass_Key_Inputs!$D$24+1,Switchgrass_Budget!$R$54,0))</f>
        <v>0</v>
      </c>
      <c r="AE112" s="409">
        <f>IF($C$111=0,IF(AE2&lt;=Switchgrass_Key_Inputs!$D$24,Switchgrass_Budget!$R$54,0),IF(AE2&lt;=Switchgrass_Key_Inputs!$D$24+1,Switchgrass_Budget!$R$54,0))</f>
        <v>0</v>
      </c>
      <c r="AF112" s="409">
        <f>IF($C$111=0,IF(AF2&lt;=Switchgrass_Key_Inputs!$D$24,Switchgrass_Budget!$R$54,0),IF(AF2&lt;=Switchgrass_Key_Inputs!$D$24+1,Switchgrass_Budget!$R$54,0))</f>
        <v>0</v>
      </c>
      <c r="AG112" s="409">
        <f>IF($C$111=0,IF(AG2&lt;=Switchgrass_Key_Inputs!$D$24,Switchgrass_Budget!$R$54,0),IF(AG2&lt;=Switchgrass_Key_Inputs!$D$24+1,Switchgrass_Budget!$R$54,0))</f>
        <v>0</v>
      </c>
      <c r="AH112" s="409">
        <f>IF($C$111=0,IF(AH2&lt;=Switchgrass_Key_Inputs!$D$24,Switchgrass_Budget!$R$54,0),IF(AH2&lt;=Switchgrass_Key_Inputs!$D$24+1,Switchgrass_Budget!$R$54,0))</f>
        <v>0</v>
      </c>
      <c r="AI112" s="409">
        <f>IF($C$111=0,IF(AI2&lt;=Switchgrass_Key_Inputs!$D$24,Switchgrass_Budget!$R$54,0),IF(AI2&lt;=Switchgrass_Key_Inputs!$D$24+1,Switchgrass_Budget!$R$54,0))</f>
        <v>0</v>
      </c>
      <c r="AJ112" s="409">
        <f>IF($C$111=0,IF(AJ2&lt;=Switchgrass_Key_Inputs!$D$24,Switchgrass_Budget!$R$54,0),IF(AJ2&lt;=Switchgrass_Key_Inputs!$D$24+1,Switchgrass_Budget!$R$54,0))</f>
        <v>0</v>
      </c>
    </row>
    <row r="113" spans="2:36" s="1" customFormat="1" ht="15.75" x14ac:dyDescent="0.25">
      <c r="B113" s="416" t="s">
        <v>558</v>
      </c>
      <c r="F113" s="575">
        <f>SUM(G113:AJ113)</f>
        <v>2811.6267304996472</v>
      </c>
      <c r="G113" s="409">
        <f>G112/(1+Switchgrass_Budget!$D$57)^(G2-1)</f>
        <v>396.9231666666667</v>
      </c>
      <c r="H113" s="409">
        <f>H112/(1+Switchgrass_Budget!$D$57)^(H2-1)</f>
        <v>289.75506474471604</v>
      </c>
      <c r="I113" s="409">
        <f>I112/(1+Switchgrass_Budget!$D$57)^(I2-1)</f>
        <v>349.3559345142516</v>
      </c>
      <c r="J113" s="409">
        <f>J112/(1+Switchgrass_Budget!$D$57)^(J2-1)</f>
        <v>321.3679957632317</v>
      </c>
      <c r="K113" s="409">
        <f>K112/(1+Switchgrass_Budget!$D$57)^(K2-1)</f>
        <v>295.62225368942012</v>
      </c>
      <c r="L113" s="409">
        <f>L112/(1+Switchgrass_Budget!$D$57)^(L2-1)</f>
        <v>271.93907927533144</v>
      </c>
      <c r="M113" s="409">
        <f>M112/(1+Switchgrass_Budget!$D$57)^(M2-1)</f>
        <v>250.15323411615546</v>
      </c>
      <c r="N113" s="409">
        <f>N112/(1+Switchgrass_Budget!$D$57)^(N2-1)</f>
        <v>230.11271754514846</v>
      </c>
      <c r="O113" s="409">
        <f>O112/(1+Switchgrass_Budget!$D$57)^(O2-1)</f>
        <v>211.67770611922512</v>
      </c>
      <c r="P113" s="409">
        <f>P112/(1+Switchgrass_Budget!$D$57)^(P2-1)</f>
        <v>194.71957806550063</v>
      </c>
      <c r="Q113" s="409">
        <f>Q112/(1+Switchgrass_Budget!$D$57)^(Q2-1)</f>
        <v>0</v>
      </c>
      <c r="R113" s="409">
        <f>R112/(1+Switchgrass_Budget!$D$57)^(R2-1)</f>
        <v>0</v>
      </c>
      <c r="S113" s="409">
        <f>S112/(1+Switchgrass_Budget!$D$57)^(S2-1)</f>
        <v>0</v>
      </c>
      <c r="T113" s="409">
        <f>T112/(1+Switchgrass_Budget!$D$57)^(T2-1)</f>
        <v>0</v>
      </c>
      <c r="U113" s="409">
        <f>U112/(1+Switchgrass_Budget!$D$57)^(U2-1)</f>
        <v>0</v>
      </c>
      <c r="V113" s="409">
        <f>V112/(1+Switchgrass_Budget!$D$57)^(V2-1)</f>
        <v>0</v>
      </c>
      <c r="W113" s="409">
        <f>W112/(1+Switchgrass_Budget!$D$57)^(W2-1)</f>
        <v>0</v>
      </c>
      <c r="X113" s="409">
        <f>X112/(1+Switchgrass_Budget!$D$57)^(X2-1)</f>
        <v>0</v>
      </c>
      <c r="Y113" s="409">
        <f>Y112/(1+Switchgrass_Budget!$D$57)^(Y2-1)</f>
        <v>0</v>
      </c>
      <c r="Z113" s="409">
        <f>Z112/(1+Switchgrass_Budget!$D$57)^(Z2-1)</f>
        <v>0</v>
      </c>
      <c r="AA113" s="409">
        <f>AA112/(1+Switchgrass_Budget!$D$57)^(AA2-1)</f>
        <v>0</v>
      </c>
      <c r="AB113" s="409">
        <f>AB112/(1+Switchgrass_Budget!$D$57)^(AB2-1)</f>
        <v>0</v>
      </c>
      <c r="AC113" s="409">
        <f>AC112/(1+Switchgrass_Budget!$D$57)^(AC2-1)</f>
        <v>0</v>
      </c>
      <c r="AD113" s="409">
        <f>AD112/(1+Switchgrass_Budget!$D$57)^(AD2-1)</f>
        <v>0</v>
      </c>
      <c r="AE113" s="409">
        <f>AE112/(1+Switchgrass_Budget!$D$57)^(AE2-1)</f>
        <v>0</v>
      </c>
      <c r="AF113" s="409">
        <f>AF112/(1+Switchgrass_Budget!$D$57)^(AF2-1)</f>
        <v>0</v>
      </c>
      <c r="AG113" s="409">
        <f>AG112/(1+Switchgrass_Budget!$D$57)^(AG2-1)</f>
        <v>0</v>
      </c>
      <c r="AH113" s="409">
        <f>AH112/(1+Switchgrass_Budget!$D$57)^(AH2-1)</f>
        <v>0</v>
      </c>
      <c r="AI113" s="409">
        <f>AI112/(1+Switchgrass_Budget!$D$57)^(AI2-1)</f>
        <v>0</v>
      </c>
      <c r="AJ113" s="409">
        <f>AJ112/(1+Switchgrass_Budget!$D$57)^(AJ2-1)</f>
        <v>0</v>
      </c>
    </row>
    <row r="114" spans="2:36" s="1" customFormat="1" ht="15.75" x14ac:dyDescent="0.25">
      <c r="B114" s="416" t="s">
        <v>517</v>
      </c>
      <c r="F114" s="594">
        <f>SUM(G114:AJ114)</f>
        <v>52.5</v>
      </c>
      <c r="G114">
        <f>IF($C$111=0,Switchgrass_Key_Inputs!$D$25,0)</f>
        <v>1.5</v>
      </c>
      <c r="H114" s="443">
        <f>IF($C$111=0,Switchgrass_Key_Inputs!$D$26,Switchgrass_Key_Inputs!$D$25)</f>
        <v>3</v>
      </c>
      <c r="I114" s="234">
        <f>IF($C$111=0,Switchgrass_Key_Inputs!$D$27,Switchgrass_Key_Inputs!$D$26)</f>
        <v>6</v>
      </c>
      <c r="J114" s="234">
        <f>IF($C$111=0,IF(J2&lt;=Switchgrass_Key_Inputs!$D$24,Switchgrass_Key_Inputs!$D$27,0),Switchgrass_Key_Inputs!$D$27)</f>
        <v>6</v>
      </c>
      <c r="K114" s="234">
        <f>IF($C$111=0,IF(K2&lt;=Switchgrass_Key_Inputs!$D$24,Switchgrass_Key_Inputs!$D$27,0),IF(K2&lt;=Switchgrass_Key_Inputs!$D$24+1,Switchgrass_Key_Inputs!$D$27,0))</f>
        <v>6</v>
      </c>
      <c r="L114" s="234">
        <f>IF($C$111=0,IF(L2&lt;=Switchgrass_Key_Inputs!$D$24,Switchgrass_Key_Inputs!$D$27,0),IF(L2&lt;=Switchgrass_Key_Inputs!$D$24+1,Switchgrass_Key_Inputs!$D$27,0))</f>
        <v>6</v>
      </c>
      <c r="M114" s="234">
        <f>IF($C$111=0,IF(M2&lt;=Switchgrass_Key_Inputs!$D$24,Switchgrass_Key_Inputs!$D$27,0),IF(M2&lt;=Switchgrass_Key_Inputs!$D$24+1,Switchgrass_Key_Inputs!$D$27,0))</f>
        <v>6</v>
      </c>
      <c r="N114" s="234">
        <f>IF($C$111=0,IF(N2&lt;=Switchgrass_Key_Inputs!$D$24,Switchgrass_Key_Inputs!$D$27,0),IF(N2&lt;=Switchgrass_Key_Inputs!$D$24+1,Switchgrass_Key_Inputs!$D$27,0))</f>
        <v>6</v>
      </c>
      <c r="O114" s="234">
        <f>IF($C$111=0,IF(O2&lt;=Switchgrass_Key_Inputs!$D$24,Switchgrass_Key_Inputs!$D$27,0),IF(O2&lt;=Switchgrass_Key_Inputs!$D$24+1,Switchgrass_Key_Inputs!$D$27,0))</f>
        <v>6</v>
      </c>
      <c r="P114" s="234">
        <f>IF($C$111=0,IF(P2&lt;=Switchgrass_Key_Inputs!$D$24,Switchgrass_Key_Inputs!$D$27,0),IF(P2&lt;=Switchgrass_Key_Inputs!$D$24+1,Switchgrass_Key_Inputs!$D$27,0))</f>
        <v>6</v>
      </c>
      <c r="Q114" s="234">
        <f>IF($C$111=0,IF(Q2&lt;=Switchgrass_Key_Inputs!$D$24,Switchgrass_Key_Inputs!$D$27,0),IF(Q2&lt;=Switchgrass_Key_Inputs!$D$24+1,Switchgrass_Key_Inputs!$D$27,0))</f>
        <v>0</v>
      </c>
      <c r="R114" s="234">
        <f>IF($C$111=0,IF(R2&lt;=Switchgrass_Key_Inputs!$D$24,Switchgrass_Key_Inputs!$D$27,0),IF(R2&lt;=Switchgrass_Key_Inputs!$D$24+1,Switchgrass_Key_Inputs!$D$27,0))</f>
        <v>0</v>
      </c>
      <c r="S114" s="234">
        <f>IF($C$111=0,IF(S2&lt;=Switchgrass_Key_Inputs!$D$24,Switchgrass_Key_Inputs!$D$27,0),IF(S2&lt;=Switchgrass_Key_Inputs!$D$24+1,Switchgrass_Key_Inputs!$D$27,0))</f>
        <v>0</v>
      </c>
      <c r="T114" s="234">
        <f>IF($C$111=0,IF(T2&lt;=Switchgrass_Key_Inputs!$D$24,Switchgrass_Key_Inputs!$D$27,0),IF(T2&lt;=Switchgrass_Key_Inputs!$D$24+1,Switchgrass_Key_Inputs!$D$27,0))</f>
        <v>0</v>
      </c>
      <c r="U114" s="234">
        <f>IF($C$111=0,IF(U2&lt;=Switchgrass_Key_Inputs!$D$24,Switchgrass_Key_Inputs!$D$27,0),IF(U2&lt;=Switchgrass_Key_Inputs!$D$24+1,Switchgrass_Key_Inputs!$D$27,0))</f>
        <v>0</v>
      </c>
      <c r="V114" s="234">
        <f>IF($C$111=0,IF(V2&lt;=Switchgrass_Key_Inputs!$D$24,Switchgrass_Key_Inputs!$D$27,0),IF(V2&lt;=Switchgrass_Key_Inputs!$D$24+1,Switchgrass_Key_Inputs!$D$27,0))</f>
        <v>0</v>
      </c>
      <c r="W114" s="234">
        <f>IF($C$111=0,IF(W2&lt;=Switchgrass_Key_Inputs!$D$24,Switchgrass_Key_Inputs!$D$27,0),IF(W2&lt;=Switchgrass_Key_Inputs!$D$24+1,Switchgrass_Key_Inputs!$D$27,0))</f>
        <v>0</v>
      </c>
      <c r="X114" s="234">
        <f>IF($C$111=0,IF(X2&lt;=Switchgrass_Key_Inputs!$D$24,Switchgrass_Key_Inputs!$D$27,0),IF(X2&lt;=Switchgrass_Key_Inputs!$D$24+1,Switchgrass_Key_Inputs!$D$27,0))</f>
        <v>0</v>
      </c>
      <c r="Y114" s="234">
        <f>IF($C$111=0,IF(Y2&lt;=Switchgrass_Key_Inputs!$D$24,Switchgrass_Key_Inputs!$D$27,0),IF(Y2&lt;=Switchgrass_Key_Inputs!$D$24+1,Switchgrass_Key_Inputs!$D$27,0))</f>
        <v>0</v>
      </c>
      <c r="Z114" s="234">
        <f>IF($C$111=0,IF(Z2&lt;=Switchgrass_Key_Inputs!$D$24,Switchgrass_Key_Inputs!$D$27,0),IF(Z2&lt;=Switchgrass_Key_Inputs!$D$24+1,Switchgrass_Key_Inputs!$D$27,0))</f>
        <v>0</v>
      </c>
      <c r="AA114" s="234">
        <f>IF($C$111=0,IF(AA2&lt;=Switchgrass_Key_Inputs!$D$24,Switchgrass_Key_Inputs!$D$27,0),IF(AA2&lt;=Switchgrass_Key_Inputs!$D$24+1,Switchgrass_Key_Inputs!$D$27,0))</f>
        <v>0</v>
      </c>
      <c r="AB114" s="234">
        <f>IF($C$111=0,IF(AB2&lt;=Switchgrass_Key_Inputs!$D$24,Switchgrass_Key_Inputs!$D$27,0),IF(AB2&lt;=Switchgrass_Key_Inputs!$D$24+1,Switchgrass_Key_Inputs!$D$27,0))</f>
        <v>0</v>
      </c>
      <c r="AC114" s="234">
        <f>IF($C$111=0,IF(AC2&lt;=Switchgrass_Key_Inputs!$D$24,Switchgrass_Key_Inputs!$D$27,0),IF(AC2&lt;=Switchgrass_Key_Inputs!$D$24+1,Switchgrass_Key_Inputs!$D$27,0))</f>
        <v>0</v>
      </c>
      <c r="AD114" s="234">
        <f>IF($C$111=0,IF(AD2&lt;=Switchgrass_Key_Inputs!$D$24,Switchgrass_Key_Inputs!$D$27,0),IF(AD2&lt;=Switchgrass_Key_Inputs!$D$24+1,Switchgrass_Key_Inputs!$D$27,0))</f>
        <v>0</v>
      </c>
      <c r="AE114" s="234">
        <f>IF($C$111=0,IF(AE2&lt;=Switchgrass_Key_Inputs!$D$24,Switchgrass_Key_Inputs!$D$27,0),IF(AE2&lt;=Switchgrass_Key_Inputs!$D$24+1,Switchgrass_Key_Inputs!$D$27,0))</f>
        <v>0</v>
      </c>
      <c r="AF114" s="234">
        <f>IF($C$111=0,IF(AF2&lt;=Switchgrass_Key_Inputs!$D$24,Switchgrass_Key_Inputs!$D$27,0),IF(AF2&lt;=Switchgrass_Key_Inputs!$D$24+1,Switchgrass_Key_Inputs!$D$27,0))</f>
        <v>0</v>
      </c>
      <c r="AG114" s="234">
        <f>IF($C$111=0,IF(AG2&lt;=Switchgrass_Key_Inputs!$D$24,Switchgrass_Key_Inputs!$D$27,0),IF(AG2&lt;=Switchgrass_Key_Inputs!$D$24+1,Switchgrass_Key_Inputs!$D$27,0))</f>
        <v>0</v>
      </c>
      <c r="AH114" s="234">
        <f>IF($C$111=0,IF(AH2&lt;=Switchgrass_Key_Inputs!$D$24,Switchgrass_Key_Inputs!$D$27,0),IF(AH2&lt;=Switchgrass_Key_Inputs!$D$24+1,Switchgrass_Key_Inputs!$D$27,0))</f>
        <v>0</v>
      </c>
      <c r="AI114" s="234">
        <f>IF($C$111=0,IF(AI2&lt;=Switchgrass_Key_Inputs!$D$24,Switchgrass_Key_Inputs!$D$27,0),IF(AI2&lt;=Switchgrass_Key_Inputs!$D$24+1,Switchgrass_Key_Inputs!$D$27,0))</f>
        <v>0</v>
      </c>
      <c r="AJ114" s="234">
        <f>IF($C$111=0,IF(AJ2&lt;=Switchgrass_Key_Inputs!$D$24,Switchgrass_Key_Inputs!$D$27,0),IF(AJ2&lt;=Switchgrass_Key_Inputs!$D$24+1,Switchgrass_Key_Inputs!$D$27,0))</f>
        <v>0</v>
      </c>
    </row>
    <row r="115" spans="2:36" s="599" customFormat="1" ht="15.75" x14ac:dyDescent="0.25">
      <c r="B115" s="594" t="s">
        <v>518</v>
      </c>
      <c r="F115" s="594">
        <f>SUM(G115:AJ115)</f>
        <v>35.141313684253205</v>
      </c>
      <c r="G115" s="428">
        <f>G114/(1+Switchgrass_Budget!$D$57)^(G2-1)</f>
        <v>1.5</v>
      </c>
      <c r="H115" s="428">
        <f>H114/(1+Switchgrass_Budget!$D$57)^(H2-1)</f>
        <v>2.7596611136152478</v>
      </c>
      <c r="I115" s="428">
        <f>I114/(1+Switchgrass_Budget!$D$57)^(I2-1)</f>
        <v>5.0771529746667659</v>
      </c>
      <c r="J115" s="428">
        <f>J114/(1+Switchgrass_Budget!$D$57)^(J2-1)</f>
        <v>4.6704072106879515</v>
      </c>
      <c r="K115" s="428">
        <f>K114/(1+Switchgrass_Budget!$D$57)^(K2-1)</f>
        <v>4.2962470546945992</v>
      </c>
      <c r="L115" s="428">
        <f>L114/(1+Switchgrass_Budget!$D$57)^(L2-1)</f>
        <v>3.9520619771082419</v>
      </c>
      <c r="M115" s="428">
        <f>M114/(1+Switchgrass_Budget!$D$57)^(M2-1)</f>
        <v>3.6354505856076695</v>
      </c>
      <c r="N115" s="428">
        <f>N114/(1+Switchgrass_Budget!$D$57)^(N2-1)</f>
        <v>3.3442038705237551</v>
      </c>
      <c r="O115" s="428">
        <f>O114/(1+Switchgrass_Budget!$D$57)^(O2-1)</f>
        <v>3.0762897924953361</v>
      </c>
      <c r="P115" s="428">
        <f>P114/(1+Switchgrass_Budget!$D$57)^(P2-1)</f>
        <v>2.8298391048536327</v>
      </c>
      <c r="Q115" s="428">
        <f>Q114/(1+Switchgrass_Budget!$D$57)^(Q2-1)</f>
        <v>0</v>
      </c>
      <c r="R115" s="428">
        <f>R114/(1+Switchgrass_Budget!$D$57)^(R2-1)</f>
        <v>0</v>
      </c>
      <c r="S115" s="428">
        <f>S114/(1+Switchgrass_Budget!$D$57)^(S2-1)</f>
        <v>0</v>
      </c>
      <c r="T115" s="428">
        <f>T114/(1+Switchgrass_Budget!$D$57)^(T2-1)</f>
        <v>0</v>
      </c>
      <c r="U115" s="428">
        <f>U114/(1+Switchgrass_Budget!$D$57)^(U2-1)</f>
        <v>0</v>
      </c>
      <c r="V115" s="428">
        <f>V114/(1+Switchgrass_Budget!$D$57)^(V2-1)</f>
        <v>0</v>
      </c>
      <c r="W115" s="428">
        <f>W114/(1+Switchgrass_Budget!$D$57)^(W2-1)</f>
        <v>0</v>
      </c>
      <c r="X115" s="428">
        <f>X114/(1+Switchgrass_Budget!$D$57)^(X2-1)</f>
        <v>0</v>
      </c>
      <c r="Y115" s="428">
        <f>Y114/(1+Switchgrass_Budget!$D$57)^(Y2-1)</f>
        <v>0</v>
      </c>
      <c r="Z115" s="428">
        <f>Z114/(1+Switchgrass_Budget!$D$57)^(Z2-1)</f>
        <v>0</v>
      </c>
      <c r="AA115" s="428">
        <f>AA114/(1+Switchgrass_Budget!$D$57)^(AA2-1)</f>
        <v>0</v>
      </c>
      <c r="AB115" s="428">
        <f>AB114/(1+Switchgrass_Budget!$D$57)^(AB2-1)</f>
        <v>0</v>
      </c>
      <c r="AC115" s="428">
        <f>AC114/(1+Switchgrass_Budget!$D$57)^(AC2-1)</f>
        <v>0</v>
      </c>
      <c r="AD115" s="428">
        <f>AD114/(1+Switchgrass_Budget!$D$57)^(AD2-1)</f>
        <v>0</v>
      </c>
      <c r="AE115" s="428">
        <f>AE114/(1+Switchgrass_Budget!$D$57)^(AE2-1)</f>
        <v>0</v>
      </c>
      <c r="AF115" s="428">
        <f>AF114/(1+Switchgrass_Budget!$D$57)^(AF2-1)</f>
        <v>0</v>
      </c>
      <c r="AG115" s="428">
        <f>AG114/(1+Switchgrass_Budget!$D$57)^(AG2-1)</f>
        <v>0</v>
      </c>
      <c r="AH115" s="428">
        <f>AH114/(1+Switchgrass_Budget!$D$57)^(AH2-1)</f>
        <v>0</v>
      </c>
      <c r="AI115" s="428">
        <f>AI114/(1+Switchgrass_Budget!$D$57)^(AI2-1)</f>
        <v>0</v>
      </c>
      <c r="AJ115" s="428">
        <f>AJ114/(1+Switchgrass_Budget!$D$57)^(AJ2-1)</f>
        <v>0</v>
      </c>
    </row>
    <row r="116" spans="2:36" s="1" customFormat="1" ht="15.75" x14ac:dyDescent="0.25">
      <c r="B116"/>
      <c r="F116" s="429" t="s">
        <v>556</v>
      </c>
      <c r="G116" s="417">
        <f>IF(G2&lt;='Financial Inputs'!$G$24,IF(MOD(G2,Switchgrass_Key_Inputs!$D$24)=0,Switchgrass_Key_Inputs!$D$24,MOD(G2,Switchgrass_Key_Inputs!$D$24)),0)</f>
        <v>1</v>
      </c>
      <c r="H116" s="417">
        <f>IF(H2&lt;='Financial Inputs'!$G$24,IF(MOD(H2,Switchgrass_Key_Inputs!$D$24)=0,Switchgrass_Key_Inputs!$D$24,MOD(H2,Switchgrass_Key_Inputs!$D$24)),0)</f>
        <v>2</v>
      </c>
      <c r="I116" s="417">
        <f>IF(I2&lt;='Financial Inputs'!$G$24,IF(MOD(I2,Switchgrass_Key_Inputs!$D$24)=0,Switchgrass_Key_Inputs!$D$24,MOD(I2,Switchgrass_Key_Inputs!$D$24)),0)</f>
        <v>3</v>
      </c>
      <c r="J116" s="417">
        <f>IF(J2&lt;='Financial Inputs'!$G$24,IF(MOD(J2,Switchgrass_Key_Inputs!$D$24)=0,Switchgrass_Key_Inputs!$D$24,MOD(J2,Switchgrass_Key_Inputs!$D$24)),0)</f>
        <v>4</v>
      </c>
      <c r="K116" s="417">
        <f>IF(K2&lt;='Financial Inputs'!$G$24,IF(MOD(K2,Switchgrass_Key_Inputs!$D$24)=0,Switchgrass_Key_Inputs!$D$24,MOD(K2,Switchgrass_Key_Inputs!$D$24)),0)</f>
        <v>5</v>
      </c>
      <c r="L116" s="417">
        <f>IF(L2&lt;='Financial Inputs'!$G$24,IF(MOD(L2,Switchgrass_Key_Inputs!$D$24)=0,Switchgrass_Key_Inputs!$D$24,MOD(L2,Switchgrass_Key_Inputs!$D$24)),0)</f>
        <v>6</v>
      </c>
      <c r="M116" s="417">
        <f>IF(M2&lt;='Financial Inputs'!$G$24,IF(MOD(M2,Switchgrass_Key_Inputs!$D$24)=0,Switchgrass_Key_Inputs!$D$24,MOD(M2,Switchgrass_Key_Inputs!$D$24)),0)</f>
        <v>7</v>
      </c>
      <c r="N116" s="417">
        <f>IF(N2&lt;='Financial Inputs'!$G$24,IF(MOD(N2,Switchgrass_Key_Inputs!$D$24)=0,Switchgrass_Key_Inputs!$D$24,MOD(N2,Switchgrass_Key_Inputs!$D$24)),0)</f>
        <v>8</v>
      </c>
      <c r="O116" s="417">
        <f>IF(O2&lt;='Financial Inputs'!$G$24,IF(MOD(O2,Switchgrass_Key_Inputs!$D$24)=0,Switchgrass_Key_Inputs!$D$24,MOD(O2,Switchgrass_Key_Inputs!$D$24)),0)</f>
        <v>9</v>
      </c>
      <c r="P116" s="417">
        <f>IF(P2&lt;='Financial Inputs'!$G$24,IF(MOD(P2,Switchgrass_Key_Inputs!$D$24)=0,Switchgrass_Key_Inputs!$D$24,MOD(P2,Switchgrass_Key_Inputs!$D$24)),0)</f>
        <v>10</v>
      </c>
      <c r="Q116" s="417">
        <f>IF(Q2&lt;='Financial Inputs'!$G$24,IF(MOD(Q2,Switchgrass_Key_Inputs!$D$24)=0,Switchgrass_Key_Inputs!$D$24,MOD(Q2,Switchgrass_Key_Inputs!$D$24)),0)</f>
        <v>1</v>
      </c>
      <c r="R116" s="417">
        <f>IF(R2&lt;='Financial Inputs'!$G$24,IF(MOD(R2,Switchgrass_Key_Inputs!$D$24)=0,Switchgrass_Key_Inputs!$D$24,MOD(R2,Switchgrass_Key_Inputs!$D$24)),0)</f>
        <v>2</v>
      </c>
      <c r="S116" s="417">
        <f>IF(S2&lt;='Financial Inputs'!$G$24,IF(MOD(S2,Switchgrass_Key_Inputs!$D$24)=0,Switchgrass_Key_Inputs!$D$24,MOD(S2,Switchgrass_Key_Inputs!$D$24)),0)</f>
        <v>3</v>
      </c>
      <c r="T116" s="417">
        <f>IF(T2&lt;='Financial Inputs'!$G$24,IF(MOD(T2,Switchgrass_Key_Inputs!$D$24)=0,Switchgrass_Key_Inputs!$D$24,MOD(T2,Switchgrass_Key_Inputs!$D$24)),0)</f>
        <v>4</v>
      </c>
      <c r="U116" s="417">
        <f>IF(U2&lt;='Financial Inputs'!$G$24,IF(MOD(U2,Switchgrass_Key_Inputs!$D$24)=0,Switchgrass_Key_Inputs!$D$24,MOD(U2,Switchgrass_Key_Inputs!$D$24)),0)</f>
        <v>5</v>
      </c>
      <c r="V116" s="417">
        <f>IF(V2&lt;='Financial Inputs'!$G$24,IF(MOD(V2,Switchgrass_Key_Inputs!$D$24)=0,Switchgrass_Key_Inputs!$D$24,MOD(V2,Switchgrass_Key_Inputs!$D$24)),0)</f>
        <v>6</v>
      </c>
      <c r="W116" s="417">
        <f>IF(W2&lt;='Financial Inputs'!$G$24,IF(MOD(W2,Switchgrass_Key_Inputs!$D$24)=0,Switchgrass_Key_Inputs!$D$24,MOD(W2,Switchgrass_Key_Inputs!$D$24)),0)</f>
        <v>7</v>
      </c>
      <c r="X116" s="417">
        <f>IF(X2&lt;='Financial Inputs'!$G$24,IF(MOD(X2,Switchgrass_Key_Inputs!$D$24)=0,Switchgrass_Key_Inputs!$D$24,MOD(X2,Switchgrass_Key_Inputs!$D$24)),0)</f>
        <v>8</v>
      </c>
      <c r="Y116" s="417">
        <f>IF(Y2&lt;='Financial Inputs'!$G$24,IF(MOD(Y2,Switchgrass_Key_Inputs!$D$24)=0,Switchgrass_Key_Inputs!$D$24,MOD(Y2,Switchgrass_Key_Inputs!$D$24)),0)</f>
        <v>9</v>
      </c>
      <c r="Z116" s="417">
        <f>IF(Z2&lt;='Financial Inputs'!$G$24,IF(MOD(Z2,Switchgrass_Key_Inputs!$D$24)=0,Switchgrass_Key_Inputs!$D$24,MOD(Z2,Switchgrass_Key_Inputs!$D$24)),0)</f>
        <v>10</v>
      </c>
      <c r="AA116" s="417">
        <f>IF(AA2&lt;='Financial Inputs'!$G$24,IF(MOD(AA2,Switchgrass_Key_Inputs!$D$24)=0,Switchgrass_Key_Inputs!$D$24,MOD(AA2,Switchgrass_Key_Inputs!$D$24)),0)</f>
        <v>0</v>
      </c>
      <c r="AB116" s="417">
        <f>IF(AB2&lt;='Financial Inputs'!$G$24,IF(MOD(AB2,Switchgrass_Key_Inputs!$D$24)=0,Switchgrass_Key_Inputs!$D$24,MOD(AB2,Switchgrass_Key_Inputs!$D$24)),0)</f>
        <v>0</v>
      </c>
      <c r="AC116" s="417">
        <f>IF(AC2&lt;='Financial Inputs'!$G$24,IF(MOD(AC2,Switchgrass_Key_Inputs!$D$24)=0,Switchgrass_Key_Inputs!$D$24,MOD(AC2,Switchgrass_Key_Inputs!$D$24)),0)</f>
        <v>0</v>
      </c>
      <c r="AD116" s="417">
        <f>IF(AD2&lt;='Financial Inputs'!$G$24,IF(MOD(AD2,Switchgrass_Key_Inputs!$D$24)=0,Switchgrass_Key_Inputs!$D$24,MOD(AD2,Switchgrass_Key_Inputs!$D$24)),0)</f>
        <v>0</v>
      </c>
      <c r="AE116" s="417">
        <f>IF(AE2&lt;='Financial Inputs'!$G$24,IF(MOD(AE2,Switchgrass_Key_Inputs!$D$24)=0,Switchgrass_Key_Inputs!$D$24,MOD(AE2,Switchgrass_Key_Inputs!$D$24)),0)</f>
        <v>0</v>
      </c>
      <c r="AF116" s="417">
        <f>IF(AF2&lt;='Financial Inputs'!$G$24,IF(MOD(AF2,Switchgrass_Key_Inputs!$D$24)=0,Switchgrass_Key_Inputs!$D$24,MOD(AF2,Switchgrass_Key_Inputs!$D$24)),0)</f>
        <v>0</v>
      </c>
      <c r="AG116" s="417">
        <f>IF(AG2&lt;='Financial Inputs'!$G$24,IF(MOD(AG2,Switchgrass_Key_Inputs!$D$24)=0,Switchgrass_Key_Inputs!$D$24,MOD(AG2,Switchgrass_Key_Inputs!$D$24)),0)</f>
        <v>0</v>
      </c>
      <c r="AH116" s="417">
        <f>IF(AH2&lt;='Financial Inputs'!$G$24,IF(MOD(AH2,Switchgrass_Key_Inputs!$D$24)=0,Switchgrass_Key_Inputs!$D$24,MOD(AH2,Switchgrass_Key_Inputs!$D$24)),0)</f>
        <v>0</v>
      </c>
      <c r="AI116" s="417">
        <f>IF(AI2&lt;='Financial Inputs'!$G$24,IF(MOD(AI2,Switchgrass_Key_Inputs!$D$24)=0,Switchgrass_Key_Inputs!$D$24,MOD(AI2,Switchgrass_Key_Inputs!$D$24)),0)</f>
        <v>0</v>
      </c>
      <c r="AJ116" s="417">
        <f>IF(AJ2&lt;='Financial Inputs'!$G$24,IF(MOD(AJ2,Switchgrass_Key_Inputs!$D$24)=0,Switchgrass_Key_Inputs!$D$24,MOD(AJ2,Switchgrass_Key_Inputs!$D$24)),0)</f>
        <v>0</v>
      </c>
    </row>
    <row r="117" spans="2:36" s="1" customFormat="1" ht="15.75" x14ac:dyDescent="0.25">
      <c r="F117" s="602" t="s">
        <v>555</v>
      </c>
      <c r="G117" s="412" cm="1">
        <f t="array" ref="G117">IF(G116&gt;0,INDEX($G$112:$AJ$112,G116),0)*'Key inputs &amp; Outputs'!$F$15*G28</f>
        <v>198461.58333333334</v>
      </c>
      <c r="H117" s="412" cm="1">
        <f t="array" ref="H117">IF(H116&gt;0,INDEX($G$112:$AJ$112,H116),0)*'Key inputs &amp; Outputs'!$F$15*H28</f>
        <v>160644.81500000003</v>
      </c>
      <c r="I117" s="412" cm="1">
        <f t="array" ref="I117">IF(I116&gt;0,INDEX($G$112:$AJ$112,I116),0)*'Key inputs &amp; Outputs'!$F$15*I28</f>
        <v>214767.95129999999</v>
      </c>
      <c r="J117" s="412" cm="1">
        <f t="array" ref="J117">IF(J116&gt;0,INDEX($G$112:$AJ$112,J116),0)*'Key inputs &amp; Outputs'!$F$15*J28</f>
        <v>219063.31032599998</v>
      </c>
      <c r="K117" s="412" cm="1">
        <f t="array" ref="K117">IF(K116&gt;0,INDEX($G$112:$AJ$112,K116),0)*'Key inputs &amp; Outputs'!$F$15*K28</f>
        <v>223444.57653252</v>
      </c>
      <c r="L117" s="412" cm="1">
        <f t="array" ref="L117">IF(L116&gt;0,INDEX($G$112:$AJ$112,L116),0)*'Key inputs &amp; Outputs'!$F$15*L28</f>
        <v>227913.46806317041</v>
      </c>
      <c r="M117" s="412" cm="1">
        <f t="array" ref="M117">IF(M116&gt;0,INDEX($G$112:$AJ$112,M116),0)*'Key inputs &amp; Outputs'!$F$15*M28</f>
        <v>232471.73742443381</v>
      </c>
      <c r="N117" s="412" cm="1">
        <f t="array" ref="N117">IF(N116&gt;0,INDEX($G$112:$AJ$112,N116),0)*'Key inputs &amp; Outputs'!$F$15*N28</f>
        <v>237121.1721729225</v>
      </c>
      <c r="O117" s="412" cm="1">
        <f t="array" ref="O117">IF(O116&gt;0,INDEX($G$112:$AJ$112,O116),0)*'Key inputs &amp; Outputs'!$F$15*O28</f>
        <v>241863.59561638098</v>
      </c>
      <c r="P117" s="412" cm="1">
        <f t="array" ref="P117">IF(P116&gt;0,INDEX($G$112:$AJ$112,P116),0)*'Key inputs &amp; Outputs'!$F$15*P28</f>
        <v>246700.86752870859</v>
      </c>
      <c r="Q117" s="412" cm="1">
        <f t="array" ref="Q117">IF(Q116&gt;0,INDEX($G$112:$AJ$112,Q116),0)*'Key inputs &amp; Outputs'!$F$15*Q28</f>
        <v>241923.56266665788</v>
      </c>
      <c r="R117" s="412" cm="1">
        <f t="array" ref="R117">IF(R116&gt;0,INDEX($G$112:$AJ$112,R116),0)*'Key inputs &amp; Outputs'!$F$15*R28</f>
        <v>195825.13308609012</v>
      </c>
      <c r="S117" s="412" cm="1">
        <f t="array" ref="S117">IF(S116&gt;0,INDEX($G$112:$AJ$112,S116),0)*'Key inputs &amp; Outputs'!$F$15*S28</f>
        <v>261800.93422840579</v>
      </c>
      <c r="T117" s="412" cm="1">
        <f t="array" ref="T117">IF(T116&gt;0,INDEX($G$112:$AJ$112,T116),0)*'Key inputs &amp; Outputs'!$F$15*T28</f>
        <v>267036.95291297388</v>
      </c>
      <c r="U117" s="412" cm="1">
        <f t="array" ref="U117">IF(U116&gt;0,INDEX($G$112:$AJ$112,U116),0)*'Key inputs &amp; Outputs'!$F$15*U28</f>
        <v>272377.69197123341</v>
      </c>
      <c r="V117" s="412" cm="1">
        <f t="array" ref="V117">IF(V116&gt;0,INDEX($G$112:$AJ$112,V116),0)*'Key inputs &amp; Outputs'!$F$15*V28</f>
        <v>277825.24581065809</v>
      </c>
      <c r="W117" s="412" cm="1">
        <f t="array" ref="W117">IF(W116&gt;0,INDEX($G$112:$AJ$112,W116),0)*'Key inputs &amp; Outputs'!$F$15*W28</f>
        <v>283381.75072687125</v>
      </c>
      <c r="X117" s="412" cm="1">
        <f t="array" ref="X117">IF(X116&gt;0,INDEX($G$112:$AJ$112,X116),0)*'Key inputs &amp; Outputs'!$F$15*X28</f>
        <v>289049.38574140868</v>
      </c>
      <c r="Y117" s="412" cm="1">
        <f t="array" ref="Y117">IF(Y116&gt;0,INDEX($G$112:$AJ$112,Y116),0)*'Key inputs &amp; Outputs'!$F$15*Y28</f>
        <v>294830.37345623685</v>
      </c>
      <c r="Z117" s="412" cm="1">
        <f t="array" ref="Z117">IF(Z116&gt;0,INDEX($G$112:$AJ$112,Z116),0)*'Key inputs &amp; Outputs'!$F$15*Z28</f>
        <v>300726.98092536157</v>
      </c>
      <c r="AA117" s="412" cm="1">
        <f t="array" ref="AA117">IF(AA116&gt;0,INDEX($G$112:$AJ$112,AA116),0)*'Key inputs &amp; Outputs'!$F$15*AA28</f>
        <v>0</v>
      </c>
      <c r="AB117" s="412" cm="1">
        <f t="array" ref="AB117">IF(AB116&gt;0,INDEX($G$112:$AJ$112,AB116),0)*'Key inputs &amp; Outputs'!$F$15*AB28</f>
        <v>0</v>
      </c>
      <c r="AC117" s="412" cm="1">
        <f t="array" ref="AC117">IF(AC116&gt;0,INDEX($G$112:$AJ$112,AC116),0)*'Key inputs &amp; Outputs'!$F$15*AC28</f>
        <v>0</v>
      </c>
      <c r="AD117" s="412" cm="1">
        <f t="array" ref="AD117">IF(AD116&gt;0,INDEX($G$112:$AJ$112,AD116),0)*'Key inputs &amp; Outputs'!$F$15*AD28</f>
        <v>0</v>
      </c>
      <c r="AE117" s="412" cm="1">
        <f t="array" ref="AE117">IF(AE116&gt;0,INDEX($G$112:$AJ$112,AE116),0)*'Key inputs &amp; Outputs'!$F$15*AE28</f>
        <v>0</v>
      </c>
      <c r="AF117" s="412" cm="1">
        <f t="array" ref="AF117">IF(AF116&gt;0,INDEX($G$112:$AJ$112,AF116),0)*'Key inputs &amp; Outputs'!$F$15*AF28</f>
        <v>0</v>
      </c>
      <c r="AG117" s="412" cm="1">
        <f t="array" ref="AG117">IF(AG116&gt;0,INDEX($G$112:$AJ$112,AG116),0)*'Key inputs &amp; Outputs'!$F$15*AG28</f>
        <v>0</v>
      </c>
      <c r="AH117" s="412" cm="1">
        <f t="array" ref="AH117">IF(AH116&gt;0,INDEX($G$112:$AJ$112,AH116),0)*'Key inputs &amp; Outputs'!$F$15*AH28</f>
        <v>0</v>
      </c>
      <c r="AI117" s="412" cm="1">
        <f t="array" ref="AI117">IF(AI116&gt;0,INDEX($G$112:$AJ$112,AI116),0)*'Key inputs &amp; Outputs'!$F$15*AI28</f>
        <v>0</v>
      </c>
      <c r="AJ117" s="412" cm="1">
        <f t="array" ref="AJ117">IF(AJ116&gt;0,INDEX($G$112:$AJ$112,AJ116),0)*'Key inputs &amp; Outputs'!$F$15*AJ28</f>
        <v>0</v>
      </c>
    </row>
    <row r="118" spans="2:36" s="1" customFormat="1" ht="15.75" x14ac:dyDescent="0.25">
      <c r="B118" s="161"/>
      <c r="C118" s="161"/>
      <c r="D118" s="161"/>
      <c r="E118" s="161"/>
      <c r="F118" s="161"/>
      <c r="G118" s="183"/>
      <c r="H118" s="184"/>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row>
    <row r="119" spans="2:36" s="1" customFormat="1" ht="15.75" x14ac:dyDescent="0.25">
      <c r="B119" s="160" t="s">
        <v>62</v>
      </c>
      <c r="C119" s="160"/>
      <c r="D119" s="160"/>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c r="AI119" s="161"/>
      <c r="AJ119" s="161"/>
    </row>
    <row r="120" spans="2:36" s="1" customFormat="1" ht="15.75" x14ac:dyDescent="0.25">
      <c r="B120" s="185" t="s">
        <v>64</v>
      </c>
      <c r="C120" s="185"/>
      <c r="D120" s="185"/>
      <c r="E120" s="186"/>
      <c r="F120" s="187"/>
      <c r="G120" s="188"/>
      <c r="H120" s="188"/>
      <c r="I120" s="188"/>
      <c r="J120" s="188"/>
      <c r="K120" s="188"/>
      <c r="L120" s="188"/>
      <c r="M120" s="188"/>
      <c r="N120" s="188"/>
      <c r="O120" s="188"/>
      <c r="P120" s="188"/>
      <c r="Q120" s="188"/>
      <c r="R120" s="188"/>
      <c r="S120" s="188"/>
      <c r="T120" s="188"/>
      <c r="U120" s="188"/>
      <c r="V120" s="188"/>
      <c r="W120" s="188"/>
      <c r="X120" s="188"/>
      <c r="Y120" s="188"/>
      <c r="Z120" s="188"/>
      <c r="AA120" s="188"/>
      <c r="AB120" s="188"/>
      <c r="AC120" s="188"/>
      <c r="AD120" s="188"/>
      <c r="AE120" s="188"/>
      <c r="AF120" s="188"/>
      <c r="AG120" s="188"/>
      <c r="AH120" s="188"/>
      <c r="AI120" s="188"/>
      <c r="AJ120" s="188"/>
    </row>
    <row r="121" spans="2:36" s="1" customFormat="1" x14ac:dyDescent="0.2">
      <c r="B121" s="186" t="s">
        <v>726</v>
      </c>
      <c r="C121" s="186"/>
      <c r="D121" s="177"/>
      <c r="E121" s="186"/>
      <c r="F121" s="195">
        <f>IF('Financial Inputs'!$G$29="Simple",'Financial Inputs'!G38,IF('Financial Inputs'!$G$29="Intermediate",'Financial Inputs'!G38,'Complex Inputs'!C26+'Complex Inputs'!C51+'Complex Inputs'!C76+'Complex Inputs'!C101))-'Financial Inputs'!$G$76</f>
        <v>3208583.9678214868</v>
      </c>
      <c r="G121" s="188"/>
      <c r="H121" s="188"/>
      <c r="I121" s="188"/>
      <c r="J121" s="188"/>
      <c r="K121" s="188"/>
      <c r="L121" s="188"/>
      <c r="M121" s="188"/>
      <c r="N121" s="188"/>
      <c r="O121" s="188"/>
      <c r="P121" s="188"/>
      <c r="Q121" s="188"/>
      <c r="R121" s="188"/>
      <c r="S121" s="188"/>
      <c r="T121" s="188"/>
      <c r="U121" s="188"/>
      <c r="V121" s="188"/>
      <c r="W121" s="188"/>
      <c r="X121" s="188"/>
      <c r="Y121" s="188"/>
      <c r="Z121" s="188"/>
      <c r="AA121" s="188"/>
      <c r="AB121" s="188"/>
      <c r="AC121" s="188"/>
      <c r="AD121" s="188"/>
      <c r="AE121" s="188"/>
      <c r="AF121" s="188"/>
      <c r="AG121" s="188"/>
      <c r="AH121" s="188"/>
      <c r="AI121" s="188"/>
      <c r="AJ121" s="188"/>
    </row>
    <row r="122" spans="2:36" s="1" customFormat="1" x14ac:dyDescent="0.2">
      <c r="B122" s="186" t="s">
        <v>434</v>
      </c>
      <c r="C122" s="186"/>
      <c r="D122" s="177"/>
      <c r="E122" s="186"/>
      <c r="F122" s="195">
        <f>'Financial Inputs'!G76</f>
        <v>319949.7993371053</v>
      </c>
      <c r="G122" s="188"/>
      <c r="H122" s="188"/>
      <c r="I122" s="188"/>
      <c r="J122" s="188"/>
      <c r="K122" s="188"/>
      <c r="L122" s="188"/>
      <c r="M122" s="188"/>
      <c r="N122" s="188"/>
      <c r="O122" s="188"/>
      <c r="P122" s="188"/>
      <c r="Q122" s="188"/>
      <c r="R122" s="188"/>
      <c r="S122" s="188"/>
      <c r="T122" s="188"/>
      <c r="U122" s="188"/>
      <c r="V122" s="188"/>
      <c r="W122" s="188"/>
      <c r="X122" s="188"/>
      <c r="Y122" s="188"/>
      <c r="Z122" s="188"/>
      <c r="AA122" s="188"/>
      <c r="AB122" s="188"/>
      <c r="AC122" s="188"/>
      <c r="AD122" s="188"/>
      <c r="AE122" s="188"/>
      <c r="AF122" s="188"/>
      <c r="AG122" s="188"/>
      <c r="AH122" s="188"/>
      <c r="AI122" s="188"/>
      <c r="AJ122" s="188"/>
    </row>
    <row r="123" spans="2:36" s="1" customFormat="1" x14ac:dyDescent="0.2">
      <c r="B123" s="186" t="s">
        <v>65</v>
      </c>
      <c r="C123" s="186"/>
      <c r="D123" s="186"/>
      <c r="E123" s="186"/>
      <c r="F123" s="189">
        <f>'Financial Inputs'!$P$159</f>
        <v>0.25</v>
      </c>
      <c r="G123" s="188"/>
      <c r="H123" s="188"/>
      <c r="I123" s="188"/>
      <c r="J123" s="188"/>
      <c r="K123" s="188"/>
      <c r="L123" s="188"/>
      <c r="M123" s="188"/>
      <c r="N123" s="188"/>
      <c r="O123" s="188"/>
      <c r="P123" s="188"/>
      <c r="Q123" s="188"/>
      <c r="R123" s="188"/>
      <c r="S123" s="188"/>
      <c r="T123" s="188"/>
      <c r="U123" s="188"/>
      <c r="V123" s="188"/>
      <c r="W123" s="188"/>
      <c r="X123" s="188"/>
      <c r="Y123" s="188"/>
      <c r="Z123" s="188"/>
      <c r="AA123" s="188"/>
      <c r="AB123" s="188"/>
      <c r="AC123" s="188"/>
      <c r="AD123" s="188"/>
      <c r="AE123" s="188"/>
      <c r="AF123" s="188"/>
      <c r="AG123" s="188"/>
      <c r="AH123" s="188"/>
      <c r="AI123" s="188"/>
      <c r="AJ123" s="188"/>
    </row>
    <row r="124" spans="2:36" s="1" customFormat="1" x14ac:dyDescent="0.2">
      <c r="B124" s="186" t="s">
        <v>63</v>
      </c>
      <c r="C124" s="186"/>
      <c r="D124" s="186"/>
      <c r="E124" s="186"/>
      <c r="F124" s="190">
        <f>(F121+F122)*F123</f>
        <v>882133.44178964803</v>
      </c>
      <c r="G124" s="188"/>
      <c r="H124" s="188"/>
      <c r="I124" s="188"/>
      <c r="J124" s="188"/>
      <c r="K124" s="188"/>
      <c r="L124" s="188"/>
      <c r="M124" s="188"/>
      <c r="N124" s="188"/>
      <c r="O124" s="188"/>
      <c r="P124" s="188"/>
      <c r="Q124" s="188"/>
      <c r="R124" s="188"/>
      <c r="S124" s="188"/>
      <c r="T124" s="188"/>
      <c r="U124" s="188"/>
      <c r="V124" s="188"/>
      <c r="W124" s="188"/>
      <c r="X124" s="188"/>
      <c r="Y124" s="188"/>
      <c r="Z124" s="188"/>
      <c r="AA124" s="188"/>
      <c r="AB124" s="188"/>
      <c r="AC124" s="188"/>
      <c r="AD124" s="188"/>
      <c r="AE124" s="188"/>
      <c r="AF124" s="188"/>
      <c r="AG124" s="188"/>
      <c r="AH124" s="188"/>
      <c r="AI124" s="188"/>
      <c r="AJ124" s="188"/>
    </row>
    <row r="125" spans="2:36" s="1" customFormat="1" x14ac:dyDescent="0.2">
      <c r="B125" s="191"/>
      <c r="C125" s="191"/>
      <c r="D125" s="191"/>
      <c r="E125" s="191"/>
      <c r="F125" s="192"/>
      <c r="G125" s="188"/>
      <c r="H125" s="188"/>
      <c r="I125" s="188"/>
      <c r="J125" s="188"/>
      <c r="K125" s="188"/>
      <c r="L125" s="188"/>
      <c r="M125" s="188"/>
      <c r="N125" s="188"/>
      <c r="O125" s="188"/>
      <c r="P125" s="188"/>
      <c r="Q125" s="188"/>
      <c r="R125" s="188"/>
      <c r="S125" s="188"/>
      <c r="T125" s="188"/>
      <c r="U125" s="188"/>
      <c r="V125" s="188"/>
      <c r="W125" s="188"/>
      <c r="X125" s="188"/>
      <c r="Y125" s="188"/>
      <c r="Z125" s="188"/>
      <c r="AA125" s="188"/>
      <c r="AB125" s="188"/>
      <c r="AC125" s="188"/>
      <c r="AD125" s="188"/>
      <c r="AE125" s="188"/>
      <c r="AF125" s="188"/>
      <c r="AG125" s="188"/>
      <c r="AH125" s="188"/>
      <c r="AI125" s="188"/>
      <c r="AJ125" s="188"/>
    </row>
    <row r="126" spans="2:36" s="1" customFormat="1" ht="15.75" x14ac:dyDescent="0.25">
      <c r="B126" s="185" t="s">
        <v>88</v>
      </c>
      <c r="C126" s="185"/>
      <c r="D126" s="185"/>
      <c r="E126" s="185"/>
      <c r="F126" s="192"/>
      <c r="G126" s="188"/>
      <c r="H126" s="188"/>
      <c r="I126" s="188"/>
      <c r="J126" s="188"/>
      <c r="K126" s="188"/>
      <c r="L126" s="188"/>
      <c r="M126" s="188"/>
      <c r="N126" s="188"/>
      <c r="O126" s="188"/>
      <c r="P126" s="188"/>
      <c r="Q126" s="188"/>
      <c r="R126" s="188"/>
      <c r="S126" s="188"/>
      <c r="T126" s="188"/>
      <c r="U126" s="188"/>
      <c r="V126" s="188"/>
      <c r="W126" s="188"/>
      <c r="X126" s="188"/>
      <c r="Y126" s="188"/>
      <c r="Z126" s="188"/>
      <c r="AA126" s="188"/>
      <c r="AB126" s="188"/>
      <c r="AC126" s="188"/>
      <c r="AD126" s="188"/>
      <c r="AE126" s="188"/>
      <c r="AF126" s="188"/>
      <c r="AG126" s="188"/>
      <c r="AH126" s="188"/>
      <c r="AI126" s="188"/>
      <c r="AJ126" s="188"/>
    </row>
    <row r="127" spans="2:36" s="1" customFormat="1" ht="15.75" x14ac:dyDescent="0.25">
      <c r="B127" s="193" t="s">
        <v>71</v>
      </c>
      <c r="C127" s="193"/>
      <c r="D127" s="193"/>
      <c r="E127" s="193"/>
      <c r="F127" s="194">
        <v>0</v>
      </c>
      <c r="G127" s="195">
        <f>SUM(G128:G129)</f>
        <v>-131463.89579250265</v>
      </c>
      <c r="H127" s="195">
        <f t="shared" ref="H127:AJ127" si="32">SUM(H128:H129)</f>
        <v>-131463.89579250262</v>
      </c>
      <c r="I127" s="195">
        <f t="shared" si="32"/>
        <v>-131463.89579250262</v>
      </c>
      <c r="J127" s="195">
        <f t="shared" si="32"/>
        <v>-131463.89579250265</v>
      </c>
      <c r="K127" s="195">
        <f t="shared" si="32"/>
        <v>-131463.89579250265</v>
      </c>
      <c r="L127" s="195">
        <f t="shared" si="32"/>
        <v>-131463.89579250262</v>
      </c>
      <c r="M127" s="195">
        <f t="shared" si="32"/>
        <v>-131463.89579250265</v>
      </c>
      <c r="N127" s="195">
        <f t="shared" si="32"/>
        <v>-131463.89579250265</v>
      </c>
      <c r="O127" s="195">
        <f t="shared" si="32"/>
        <v>-131463.89579250265</v>
      </c>
      <c r="P127" s="195">
        <f t="shared" si="32"/>
        <v>-131463.89579250262</v>
      </c>
      <c r="Q127" s="195">
        <f t="shared" si="32"/>
        <v>0</v>
      </c>
      <c r="R127" s="195">
        <f t="shared" si="32"/>
        <v>0</v>
      </c>
      <c r="S127" s="195">
        <f t="shared" si="32"/>
        <v>0</v>
      </c>
      <c r="T127" s="195">
        <f t="shared" si="32"/>
        <v>0</v>
      </c>
      <c r="U127" s="195">
        <f t="shared" si="32"/>
        <v>0</v>
      </c>
      <c r="V127" s="195">
        <f t="shared" si="32"/>
        <v>0</v>
      </c>
      <c r="W127" s="195">
        <f t="shared" si="32"/>
        <v>0</v>
      </c>
      <c r="X127" s="195">
        <f t="shared" si="32"/>
        <v>0</v>
      </c>
      <c r="Y127" s="195">
        <f t="shared" si="32"/>
        <v>0</v>
      </c>
      <c r="Z127" s="195">
        <f t="shared" si="32"/>
        <v>0</v>
      </c>
      <c r="AA127" s="195">
        <f t="shared" si="32"/>
        <v>0</v>
      </c>
      <c r="AB127" s="195">
        <f t="shared" si="32"/>
        <v>0</v>
      </c>
      <c r="AC127" s="195">
        <f t="shared" si="32"/>
        <v>0</v>
      </c>
      <c r="AD127" s="195">
        <f t="shared" si="32"/>
        <v>0</v>
      </c>
      <c r="AE127" s="195">
        <f t="shared" si="32"/>
        <v>0</v>
      </c>
      <c r="AF127" s="195">
        <f t="shared" si="32"/>
        <v>0</v>
      </c>
      <c r="AG127" s="195">
        <f t="shared" si="32"/>
        <v>0</v>
      </c>
      <c r="AH127" s="195">
        <f t="shared" si="32"/>
        <v>0</v>
      </c>
      <c r="AI127" s="195">
        <f t="shared" si="32"/>
        <v>0</v>
      </c>
      <c r="AJ127" s="195">
        <f t="shared" si="32"/>
        <v>0</v>
      </c>
    </row>
    <row r="128" spans="2:36" s="1" customFormat="1" ht="15.75" x14ac:dyDescent="0.25">
      <c r="B128" s="193" t="s">
        <v>69</v>
      </c>
      <c r="C128" s="193"/>
      <c r="D128" s="193"/>
      <c r="E128" s="193"/>
      <c r="F128" s="194">
        <v>0</v>
      </c>
      <c r="G128" s="195">
        <f>IF(G$2&gt;'Financial Inputs'!$P$158,0,IPMT('Financial Inputs'!$V$193,G$2,'Financial Inputs'!$P$158,$F$124))</f>
        <v>-70570.675343171912</v>
      </c>
      <c r="H128" s="195">
        <f>IF(H$2&gt;'Financial Inputs'!$P$158,0,IPMT('Financial Inputs'!$V$193,H$2,'Financial Inputs'!$P$158,$F$124))</f>
        <v>-65699.217707225427</v>
      </c>
      <c r="I128" s="195">
        <f>IF(I$2&gt;'Financial Inputs'!$P$158,0,IPMT('Financial Inputs'!$V$193,I$2,'Financial Inputs'!$P$158,$F$124))</f>
        <v>-60438.043460403249</v>
      </c>
      <c r="J128" s="195">
        <f>IF(J$2&gt;'Financial Inputs'!$P$158,0,IPMT('Financial Inputs'!$V$193,J$2,'Financial Inputs'!$P$158,$F$124))</f>
        <v>-54755.975273835305</v>
      </c>
      <c r="K128" s="195">
        <f>IF(K$2&gt;'Financial Inputs'!$P$158,0,IPMT('Financial Inputs'!$V$193,K$2,'Financial Inputs'!$P$158,$F$124))</f>
        <v>-48619.341632341908</v>
      </c>
      <c r="L128" s="195">
        <f>IF(L$2&gt;'Financial Inputs'!$P$158,0,IPMT('Financial Inputs'!$V$193,L$2,'Financial Inputs'!$P$158,$F$124))</f>
        <v>-41991.777299529043</v>
      </c>
      <c r="M128" s="195">
        <f>IF(M$2&gt;'Financial Inputs'!$P$158,0,IPMT('Financial Inputs'!$V$193,M$2,'Financial Inputs'!$P$158,$F$124))</f>
        <v>-34834.007820091159</v>
      </c>
      <c r="N128" s="195">
        <f>IF(N$2&gt;'Financial Inputs'!$P$158,0,IPMT('Financial Inputs'!$V$193,N$2,'Financial Inputs'!$P$158,$F$124))</f>
        <v>-27103.616782298228</v>
      </c>
      <c r="O128" s="195">
        <f>IF(O$2&gt;'Financial Inputs'!$P$158,0,IPMT('Financial Inputs'!$V$193,O$2,'Financial Inputs'!$P$158,$F$124))</f>
        <v>-18754.794461481873</v>
      </c>
      <c r="P128" s="195">
        <f>IF(P$2&gt;'Financial Inputs'!$P$158,0,IPMT('Financial Inputs'!$V$193,P$2,'Financial Inputs'!$P$158,$F$124))</f>
        <v>-9738.0663550002009</v>
      </c>
      <c r="Q128" s="195">
        <f>IF(Q$2&gt;'Financial Inputs'!$P$158,0,IPMT('Financial Inputs'!$V$193,Q$2,'Financial Inputs'!$P$158,$F$124))</f>
        <v>0</v>
      </c>
      <c r="R128" s="195">
        <f>IF(R$2&gt;'Financial Inputs'!$P$158,0,IPMT('Financial Inputs'!$V$193,R$2,'Financial Inputs'!$P$158,$F$124))</f>
        <v>0</v>
      </c>
      <c r="S128" s="195">
        <f>IF(S$2&gt;'Financial Inputs'!$P$158,0,IPMT('Financial Inputs'!$V$193,S$2,'Financial Inputs'!$P$158,$F$124))</f>
        <v>0</v>
      </c>
      <c r="T128" s="195">
        <f>IF(T$2&gt;'Financial Inputs'!$P$158,0,IPMT('Financial Inputs'!$V$193,T$2,'Financial Inputs'!$P$158,$F$124))</f>
        <v>0</v>
      </c>
      <c r="U128" s="195">
        <f>IF(U$2&gt;'Financial Inputs'!$P$158,0,IPMT('Financial Inputs'!$V$193,U$2,'Financial Inputs'!$P$158,$F$124))</f>
        <v>0</v>
      </c>
      <c r="V128" s="195">
        <f>IF(V$2&gt;'Financial Inputs'!$P$158,0,IPMT('Financial Inputs'!$V$193,V$2,'Financial Inputs'!$P$158,$F$124))</f>
        <v>0</v>
      </c>
      <c r="W128" s="195">
        <f>IF(W$2&gt;'Financial Inputs'!$P$158,0,IPMT('Financial Inputs'!$V$193,W$2,'Financial Inputs'!$P$158,$F$124))</f>
        <v>0</v>
      </c>
      <c r="X128" s="195">
        <f>IF(X$2&gt;'Financial Inputs'!$P$158,0,IPMT('Financial Inputs'!$V$193,X$2,'Financial Inputs'!$P$158,$F$124))</f>
        <v>0</v>
      </c>
      <c r="Y128" s="195">
        <f>IF(Y$2&gt;'Financial Inputs'!$P$158,0,IPMT('Financial Inputs'!$V$193,Y$2,'Financial Inputs'!$P$158,$F$124))</f>
        <v>0</v>
      </c>
      <c r="Z128" s="195">
        <f>IF(Z$2&gt;'Financial Inputs'!$P$158,0,IPMT('Financial Inputs'!$V$193,Z$2,'Financial Inputs'!$P$158,$F$124))</f>
        <v>0</v>
      </c>
      <c r="AA128" s="195">
        <f>IF(AA$2&gt;'Financial Inputs'!$P$158,0,IPMT('Financial Inputs'!$V$193,AA$2,'Financial Inputs'!$P$158,$F$124))</f>
        <v>0</v>
      </c>
      <c r="AB128" s="195">
        <f>IF(AB$2&gt;'Financial Inputs'!$P$158,0,IPMT('Financial Inputs'!$V$193,AB$2,'Financial Inputs'!$P$158,$F$124))</f>
        <v>0</v>
      </c>
      <c r="AC128" s="195">
        <f>IF(AC$2&gt;'Financial Inputs'!$P$158,0,IPMT('Financial Inputs'!$V$193,AC$2,'Financial Inputs'!$P$158,$F$124))</f>
        <v>0</v>
      </c>
      <c r="AD128" s="195">
        <f>IF(AD$2&gt;'Financial Inputs'!$P$158,0,IPMT('Financial Inputs'!$V$193,AD$2,'Financial Inputs'!$P$158,$F$124))</f>
        <v>0</v>
      </c>
      <c r="AE128" s="195">
        <f>IF(AE$2&gt;'Financial Inputs'!$P$158,0,IPMT('Financial Inputs'!$V$193,AE$2,'Financial Inputs'!$P$158,$F$124))</f>
        <v>0</v>
      </c>
      <c r="AF128" s="195">
        <f>IF(AF$2&gt;'Financial Inputs'!$P$158,0,IPMT('Financial Inputs'!$V$193,AF$2,'Financial Inputs'!$P$158,$F$124))</f>
        <v>0</v>
      </c>
      <c r="AG128" s="195">
        <f>IF(AG$2&gt;'Financial Inputs'!$P$158,0,IPMT('Financial Inputs'!$V$193,AG$2,'Financial Inputs'!$P$158,$F$124))</f>
        <v>0</v>
      </c>
      <c r="AH128" s="195">
        <f>IF(AH$2&gt;'Financial Inputs'!$P$158,0,IPMT('Financial Inputs'!$V$193,AH$2,'Financial Inputs'!$P$158,$F$124))</f>
        <v>0</v>
      </c>
      <c r="AI128" s="195">
        <f>IF(AI$2&gt;'Financial Inputs'!$P$158,0,IPMT('Financial Inputs'!$V$193,AI$2,'Financial Inputs'!$P$158,$F$124))</f>
        <v>0</v>
      </c>
      <c r="AJ128" s="195">
        <f>IF(AJ$2&gt;'Financial Inputs'!$P$158,0,IPMT('Financial Inputs'!$V$193,AJ$2,'Financial Inputs'!$P$158,$F$124))</f>
        <v>0</v>
      </c>
    </row>
    <row r="129" spans="2:36" s="1" customFormat="1" x14ac:dyDescent="0.2">
      <c r="B129" s="193" t="s">
        <v>70</v>
      </c>
      <c r="C129" s="193"/>
      <c r="D129" s="193"/>
      <c r="E129" s="193"/>
      <c r="F129" s="187">
        <f>MIN(MAX(0,F127-F128),F$132)</f>
        <v>0</v>
      </c>
      <c r="G129" s="195">
        <f>IF(G$2&gt;'Financial Inputs'!$P$158,0,PPMT('Financial Inputs'!$V$193,G$2,'Financial Inputs'!$P$158,$F$124))</f>
        <v>-60893.220449330729</v>
      </c>
      <c r="H129" s="195">
        <f>IF(H$2&gt;'Financial Inputs'!$P$158,0,PPMT('Financial Inputs'!$V$193,H$2,'Financial Inputs'!$P$158,$F$124))</f>
        <v>-65764.678085277206</v>
      </c>
      <c r="I129" s="195">
        <f>IF(I$2&gt;'Financial Inputs'!$P$158,0,PPMT('Financial Inputs'!$V$193,I$2,'Financial Inputs'!$P$158,$F$124))</f>
        <v>-71025.852332099385</v>
      </c>
      <c r="J129" s="195">
        <f>IF(J$2&gt;'Financial Inputs'!$P$158,0,PPMT('Financial Inputs'!$V$193,J$2,'Financial Inputs'!$P$158,$F$124))</f>
        <v>-76707.920518667335</v>
      </c>
      <c r="K129" s="195">
        <f>IF(K$2&gt;'Financial Inputs'!$P$158,0,PPMT('Financial Inputs'!$V$193,K$2,'Financial Inputs'!$P$158,$F$124))</f>
        <v>-82844.55416016074</v>
      </c>
      <c r="L129" s="195">
        <f>IF(L$2&gt;'Financial Inputs'!$P$158,0,PPMT('Financial Inputs'!$V$193,L$2,'Financial Inputs'!$P$158,$F$124))</f>
        <v>-89472.118492973575</v>
      </c>
      <c r="M129" s="195">
        <f>IF(M$2&gt;'Financial Inputs'!$P$158,0,PPMT('Financial Inputs'!$V$193,M$2,'Financial Inputs'!$P$158,$F$124))</f>
        <v>-96629.887972411481</v>
      </c>
      <c r="N129" s="195">
        <f>IF(N$2&gt;'Financial Inputs'!$P$158,0,PPMT('Financial Inputs'!$V$193,N$2,'Financial Inputs'!$P$158,$F$124))</f>
        <v>-104360.27901020441</v>
      </c>
      <c r="O129" s="195">
        <f>IF(O$2&gt;'Financial Inputs'!$P$158,0,PPMT('Financial Inputs'!$V$193,O$2,'Financial Inputs'!$P$158,$F$124))</f>
        <v>-112709.10133102076</v>
      </c>
      <c r="P129" s="195">
        <f>IF(P$2&gt;'Financial Inputs'!$P$158,0,PPMT('Financial Inputs'!$V$193,P$2,'Financial Inputs'!$P$158,$F$124))</f>
        <v>-121725.82943750243</v>
      </c>
      <c r="Q129" s="195">
        <f>IF(Q$2&gt;'Financial Inputs'!$P$158,0,PPMT('Financial Inputs'!$V$193,Q$2,'Financial Inputs'!$P$158,$F$124))</f>
        <v>0</v>
      </c>
      <c r="R129" s="195">
        <f>IF(R$2&gt;'Financial Inputs'!$P$158,0,PPMT('Financial Inputs'!$V$193,R$2,'Financial Inputs'!$P$158,$F$124))</f>
        <v>0</v>
      </c>
      <c r="S129" s="195">
        <f>IF(S$2&gt;'Financial Inputs'!$P$158,0,PPMT('Financial Inputs'!$V$193,S$2,'Financial Inputs'!$P$158,$F$124))</f>
        <v>0</v>
      </c>
      <c r="T129" s="195">
        <f>IF(T$2&gt;'Financial Inputs'!$P$158,0,PPMT('Financial Inputs'!$V$193,T$2,'Financial Inputs'!$P$158,$F$124))</f>
        <v>0</v>
      </c>
      <c r="U129" s="195">
        <f>IF(U$2&gt;'Financial Inputs'!$P$158,0,PPMT('Financial Inputs'!$V$193,U$2,'Financial Inputs'!$P$158,$F$124))</f>
        <v>0</v>
      </c>
      <c r="V129" s="195">
        <f>IF(V$2&gt;'Financial Inputs'!$P$158,0,PPMT('Financial Inputs'!$V$193,V$2,'Financial Inputs'!$P$158,$F$124))</f>
        <v>0</v>
      </c>
      <c r="W129" s="195">
        <f>IF(W$2&gt;'Financial Inputs'!$P$158,0,PPMT('Financial Inputs'!$V$193,W$2,'Financial Inputs'!$P$158,$F$124))</f>
        <v>0</v>
      </c>
      <c r="X129" s="195">
        <f>IF(X$2&gt;'Financial Inputs'!$P$158,0,PPMT('Financial Inputs'!$V$193,X$2,'Financial Inputs'!$P$158,$F$124))</f>
        <v>0</v>
      </c>
      <c r="Y129" s="195">
        <f>IF(Y$2&gt;'Financial Inputs'!$P$158,0,PPMT('Financial Inputs'!$V$193,Y$2,'Financial Inputs'!$P$158,$F$124))</f>
        <v>0</v>
      </c>
      <c r="Z129" s="195">
        <f>IF(Z$2&gt;'Financial Inputs'!$P$158,0,PPMT('Financial Inputs'!$V$193,Z$2,'Financial Inputs'!$P$158,$F$124))</f>
        <v>0</v>
      </c>
      <c r="AA129" s="195">
        <f>IF(AA$2&gt;'Financial Inputs'!$P$158,0,PPMT('Financial Inputs'!$V$193,AA$2,'Financial Inputs'!$P$158,$F$124))</f>
        <v>0</v>
      </c>
      <c r="AB129" s="195">
        <f>IF(AB$2&gt;'Financial Inputs'!$P$158,0,PPMT('Financial Inputs'!$V$193,AB$2,'Financial Inputs'!$P$158,$F$124))</f>
        <v>0</v>
      </c>
      <c r="AC129" s="195">
        <f>IF(AC$2&gt;'Financial Inputs'!$P$158,0,PPMT('Financial Inputs'!$V$193,AC$2,'Financial Inputs'!$P$158,$F$124))</f>
        <v>0</v>
      </c>
      <c r="AD129" s="195">
        <f>IF(AD$2&gt;'Financial Inputs'!$P$158,0,PPMT('Financial Inputs'!$V$193,AD$2,'Financial Inputs'!$P$158,$F$124))</f>
        <v>0</v>
      </c>
      <c r="AE129" s="195">
        <f>IF(AE$2&gt;'Financial Inputs'!$P$158,0,PPMT('Financial Inputs'!$V$193,AE$2,'Financial Inputs'!$P$158,$F$124))</f>
        <v>0</v>
      </c>
      <c r="AF129" s="195">
        <f>IF(AF$2&gt;'Financial Inputs'!$P$158,0,PPMT('Financial Inputs'!$V$193,AF$2,'Financial Inputs'!$P$158,$F$124))</f>
        <v>0</v>
      </c>
      <c r="AG129" s="195">
        <f>IF(AG$2&gt;'Financial Inputs'!$P$158,0,PPMT('Financial Inputs'!$V$193,AG$2,'Financial Inputs'!$P$158,$F$124))</f>
        <v>0</v>
      </c>
      <c r="AH129" s="195">
        <f>IF(AH$2&gt;'Financial Inputs'!$P$158,0,PPMT('Financial Inputs'!$V$193,AH$2,'Financial Inputs'!$P$158,$F$124))</f>
        <v>0</v>
      </c>
      <c r="AI129" s="195">
        <f>IF(AI$2&gt;'Financial Inputs'!$P$158,0,PPMT('Financial Inputs'!$V$193,AI$2,'Financial Inputs'!$P$158,$F$124))</f>
        <v>0</v>
      </c>
      <c r="AJ129" s="195">
        <f>IF(AJ$2&gt;'Financial Inputs'!$P$158,0,PPMT('Financial Inputs'!$V$193,AJ$2,'Financial Inputs'!$P$158,$F$124))</f>
        <v>0</v>
      </c>
    </row>
    <row r="130" spans="2:36" s="1" customFormat="1" ht="15.75" x14ac:dyDescent="0.25">
      <c r="B130" s="185"/>
      <c r="C130" s="185"/>
      <c r="D130" s="185"/>
      <c r="E130" s="185"/>
      <c r="F130" s="192"/>
      <c r="G130" s="188"/>
      <c r="H130" s="188"/>
      <c r="I130" s="188"/>
      <c r="J130" s="188"/>
      <c r="K130" s="188"/>
      <c r="L130" s="188"/>
      <c r="M130" s="188"/>
      <c r="N130" s="188"/>
      <c r="O130" s="188"/>
      <c r="P130" s="188"/>
      <c r="Q130" s="188"/>
      <c r="R130" s="188"/>
      <c r="S130" s="188"/>
      <c r="T130" s="188"/>
      <c r="U130" s="188"/>
      <c r="V130" s="188"/>
      <c r="W130" s="188"/>
      <c r="X130" s="188"/>
      <c r="Y130" s="188"/>
      <c r="Z130" s="188"/>
      <c r="AA130" s="188"/>
      <c r="AB130" s="188"/>
      <c r="AC130" s="188"/>
      <c r="AD130" s="188"/>
      <c r="AE130" s="188"/>
      <c r="AF130" s="188"/>
      <c r="AG130" s="188"/>
      <c r="AH130" s="188"/>
      <c r="AI130" s="188"/>
      <c r="AJ130" s="188"/>
    </row>
    <row r="131" spans="2:36" s="1" customFormat="1" ht="15.75" x14ac:dyDescent="0.25">
      <c r="B131" s="185" t="s">
        <v>87</v>
      </c>
      <c r="C131" s="185"/>
      <c r="D131" s="185"/>
      <c r="E131" s="186"/>
      <c r="F131" s="196"/>
      <c r="G131" s="196"/>
      <c r="H131" s="196"/>
      <c r="I131" s="196"/>
      <c r="J131" s="196"/>
      <c r="K131" s="196"/>
      <c r="L131" s="196"/>
      <c r="M131" s="196"/>
      <c r="N131" s="196"/>
      <c r="O131" s="196"/>
      <c r="P131" s="196"/>
      <c r="Q131" s="196"/>
      <c r="R131" s="196"/>
      <c r="S131" s="196"/>
      <c r="T131" s="196"/>
      <c r="U131" s="196"/>
      <c r="V131" s="196"/>
      <c r="W131" s="196"/>
      <c r="X131" s="196"/>
      <c r="Y131" s="196"/>
      <c r="Z131" s="196"/>
      <c r="AA131" s="196"/>
      <c r="AB131" s="196"/>
      <c r="AC131" s="196"/>
      <c r="AD131" s="196"/>
      <c r="AE131" s="196"/>
      <c r="AF131" s="196"/>
      <c r="AG131" s="196"/>
      <c r="AH131" s="196"/>
      <c r="AI131" s="196"/>
      <c r="AJ131" s="196"/>
    </row>
    <row r="132" spans="2:36" s="1" customFormat="1" ht="15.75" x14ac:dyDescent="0.25">
      <c r="B132" s="193" t="s">
        <v>66</v>
      </c>
      <c r="C132" s="193"/>
      <c r="D132" s="193"/>
      <c r="E132" s="193"/>
      <c r="F132" s="194">
        <v>0</v>
      </c>
      <c r="G132" s="187">
        <f t="shared" ref="G132:AJ132" si="33">F135</f>
        <v>882133.44178964803</v>
      </c>
      <c r="H132" s="187">
        <f t="shared" si="33"/>
        <v>821240.22134031728</v>
      </c>
      <c r="I132" s="187">
        <f t="shared" si="33"/>
        <v>755475.54325504007</v>
      </c>
      <c r="J132" s="187">
        <f t="shared" si="33"/>
        <v>684449.69092294073</v>
      </c>
      <c r="K132" s="187">
        <f t="shared" si="33"/>
        <v>607741.77040427341</v>
      </c>
      <c r="L132" s="187">
        <f t="shared" si="33"/>
        <v>524897.2162441127</v>
      </c>
      <c r="M132" s="187">
        <f t="shared" si="33"/>
        <v>435425.09775113914</v>
      </c>
      <c r="N132" s="187">
        <f t="shared" si="33"/>
        <v>338795.20977872767</v>
      </c>
      <c r="O132" s="187">
        <f t="shared" si="33"/>
        <v>234434.93076852325</v>
      </c>
      <c r="P132" s="187">
        <f t="shared" si="33"/>
        <v>121725.82943750249</v>
      </c>
      <c r="Q132" s="187">
        <f t="shared" si="33"/>
        <v>0</v>
      </c>
      <c r="R132" s="187">
        <f t="shared" si="33"/>
        <v>0</v>
      </c>
      <c r="S132" s="187">
        <f t="shared" si="33"/>
        <v>0</v>
      </c>
      <c r="T132" s="187">
        <f t="shared" si="33"/>
        <v>0</v>
      </c>
      <c r="U132" s="187">
        <f t="shared" si="33"/>
        <v>0</v>
      </c>
      <c r="V132" s="187">
        <f t="shared" si="33"/>
        <v>0</v>
      </c>
      <c r="W132" s="187">
        <f t="shared" si="33"/>
        <v>0</v>
      </c>
      <c r="X132" s="187">
        <f t="shared" si="33"/>
        <v>0</v>
      </c>
      <c r="Y132" s="187">
        <f t="shared" si="33"/>
        <v>0</v>
      </c>
      <c r="Z132" s="187">
        <f t="shared" si="33"/>
        <v>0</v>
      </c>
      <c r="AA132" s="187">
        <f t="shared" si="33"/>
        <v>0</v>
      </c>
      <c r="AB132" s="187">
        <f t="shared" si="33"/>
        <v>0</v>
      </c>
      <c r="AC132" s="187">
        <f t="shared" si="33"/>
        <v>0</v>
      </c>
      <c r="AD132" s="187">
        <f t="shared" si="33"/>
        <v>0</v>
      </c>
      <c r="AE132" s="187">
        <f t="shared" si="33"/>
        <v>0</v>
      </c>
      <c r="AF132" s="187">
        <f t="shared" si="33"/>
        <v>0</v>
      </c>
      <c r="AG132" s="187">
        <f t="shared" si="33"/>
        <v>0</v>
      </c>
      <c r="AH132" s="187">
        <f t="shared" si="33"/>
        <v>0</v>
      </c>
      <c r="AI132" s="187">
        <f t="shared" si="33"/>
        <v>0</v>
      </c>
      <c r="AJ132" s="187">
        <f t="shared" si="33"/>
        <v>0</v>
      </c>
    </row>
    <row r="133" spans="2:36" s="1" customFormat="1" ht="15.75" x14ac:dyDescent="0.25">
      <c r="B133" s="193" t="s">
        <v>67</v>
      </c>
      <c r="C133" s="193"/>
      <c r="D133" s="193"/>
      <c r="E133" s="193"/>
      <c r="F133" s="187">
        <f>$F$124</f>
        <v>882133.44178964803</v>
      </c>
      <c r="G133" s="194">
        <v>0</v>
      </c>
      <c r="H133" s="194">
        <v>0</v>
      </c>
      <c r="I133" s="194">
        <v>0</v>
      </c>
      <c r="J133" s="194">
        <v>0</v>
      </c>
      <c r="K133" s="194">
        <v>0</v>
      </c>
      <c r="L133" s="194">
        <v>0</v>
      </c>
      <c r="M133" s="194">
        <v>0</v>
      </c>
      <c r="N133" s="194">
        <v>0</v>
      </c>
      <c r="O133" s="194">
        <v>0</v>
      </c>
      <c r="P133" s="194">
        <v>0</v>
      </c>
      <c r="Q133" s="194">
        <v>0</v>
      </c>
      <c r="R133" s="194">
        <v>0</v>
      </c>
      <c r="S133" s="194">
        <v>0</v>
      </c>
      <c r="T133" s="194">
        <v>0</v>
      </c>
      <c r="U133" s="194">
        <v>0</v>
      </c>
      <c r="V133" s="194">
        <v>0</v>
      </c>
      <c r="W133" s="194">
        <v>0</v>
      </c>
      <c r="X133" s="194">
        <v>0</v>
      </c>
      <c r="Y133" s="194">
        <v>0</v>
      </c>
      <c r="Z133" s="194">
        <v>0</v>
      </c>
      <c r="AA133" s="194">
        <v>0</v>
      </c>
      <c r="AB133" s="194">
        <v>0</v>
      </c>
      <c r="AC133" s="194">
        <v>0</v>
      </c>
      <c r="AD133" s="194">
        <v>0</v>
      </c>
      <c r="AE133" s="194">
        <v>0</v>
      </c>
      <c r="AF133" s="194">
        <v>0</v>
      </c>
      <c r="AG133" s="194">
        <v>0</v>
      </c>
      <c r="AH133" s="194">
        <v>0</v>
      </c>
      <c r="AI133" s="194">
        <v>0</v>
      </c>
      <c r="AJ133" s="194">
        <v>0</v>
      </c>
    </row>
    <row r="134" spans="2:36" s="1" customFormat="1" ht="15.75" x14ac:dyDescent="0.25">
      <c r="B134" s="193" t="s">
        <v>86</v>
      </c>
      <c r="C134" s="193"/>
      <c r="D134" s="193"/>
      <c r="E134" s="193"/>
      <c r="F134" s="197">
        <v>0</v>
      </c>
      <c r="G134" s="198">
        <f t="shared" ref="G134:AJ134" si="34">G129</f>
        <v>-60893.220449330729</v>
      </c>
      <c r="H134" s="198">
        <f t="shared" si="34"/>
        <v>-65764.678085277206</v>
      </c>
      <c r="I134" s="198">
        <f t="shared" si="34"/>
        <v>-71025.852332099385</v>
      </c>
      <c r="J134" s="198">
        <f t="shared" si="34"/>
        <v>-76707.920518667335</v>
      </c>
      <c r="K134" s="198">
        <f t="shared" si="34"/>
        <v>-82844.55416016074</v>
      </c>
      <c r="L134" s="198">
        <f t="shared" si="34"/>
        <v>-89472.118492973575</v>
      </c>
      <c r="M134" s="198">
        <f t="shared" si="34"/>
        <v>-96629.887972411481</v>
      </c>
      <c r="N134" s="198">
        <f t="shared" si="34"/>
        <v>-104360.27901020441</v>
      </c>
      <c r="O134" s="198">
        <f t="shared" si="34"/>
        <v>-112709.10133102076</v>
      </c>
      <c r="P134" s="198">
        <f t="shared" si="34"/>
        <v>-121725.82943750243</v>
      </c>
      <c r="Q134" s="198">
        <f t="shared" si="34"/>
        <v>0</v>
      </c>
      <c r="R134" s="198">
        <f t="shared" si="34"/>
        <v>0</v>
      </c>
      <c r="S134" s="198">
        <f t="shared" si="34"/>
        <v>0</v>
      </c>
      <c r="T134" s="198">
        <f t="shared" si="34"/>
        <v>0</v>
      </c>
      <c r="U134" s="198">
        <f t="shared" si="34"/>
        <v>0</v>
      </c>
      <c r="V134" s="198">
        <f t="shared" si="34"/>
        <v>0</v>
      </c>
      <c r="W134" s="198">
        <f t="shared" si="34"/>
        <v>0</v>
      </c>
      <c r="X134" s="198">
        <f t="shared" si="34"/>
        <v>0</v>
      </c>
      <c r="Y134" s="198">
        <f t="shared" si="34"/>
        <v>0</v>
      </c>
      <c r="Z134" s="198">
        <f t="shared" si="34"/>
        <v>0</v>
      </c>
      <c r="AA134" s="198">
        <f t="shared" si="34"/>
        <v>0</v>
      </c>
      <c r="AB134" s="198">
        <f t="shared" si="34"/>
        <v>0</v>
      </c>
      <c r="AC134" s="198">
        <f t="shared" si="34"/>
        <v>0</v>
      </c>
      <c r="AD134" s="198">
        <f t="shared" si="34"/>
        <v>0</v>
      </c>
      <c r="AE134" s="198">
        <f t="shared" si="34"/>
        <v>0</v>
      </c>
      <c r="AF134" s="198">
        <f t="shared" si="34"/>
        <v>0</v>
      </c>
      <c r="AG134" s="198">
        <f t="shared" si="34"/>
        <v>0</v>
      </c>
      <c r="AH134" s="198">
        <f t="shared" si="34"/>
        <v>0</v>
      </c>
      <c r="AI134" s="198">
        <f t="shared" si="34"/>
        <v>0</v>
      </c>
      <c r="AJ134" s="198">
        <f t="shared" si="34"/>
        <v>0</v>
      </c>
    </row>
    <row r="135" spans="2:36" s="1" customFormat="1" x14ac:dyDescent="0.2">
      <c r="B135" s="193" t="s">
        <v>68</v>
      </c>
      <c r="C135" s="193"/>
      <c r="D135" s="193"/>
      <c r="E135" s="193"/>
      <c r="F135" s="187">
        <f t="shared" ref="F135:AJ135" si="35">SUM(F132:F134)</f>
        <v>882133.44178964803</v>
      </c>
      <c r="G135" s="187">
        <f t="shared" si="35"/>
        <v>821240.22134031728</v>
      </c>
      <c r="H135" s="187">
        <f t="shared" si="35"/>
        <v>755475.54325504007</v>
      </c>
      <c r="I135" s="187">
        <f t="shared" si="35"/>
        <v>684449.69092294073</v>
      </c>
      <c r="J135" s="187">
        <f t="shared" si="35"/>
        <v>607741.77040427341</v>
      </c>
      <c r="K135" s="187">
        <f t="shared" si="35"/>
        <v>524897.2162441127</v>
      </c>
      <c r="L135" s="187">
        <f t="shared" si="35"/>
        <v>435425.09775113914</v>
      </c>
      <c r="M135" s="187">
        <f t="shared" si="35"/>
        <v>338795.20977872767</v>
      </c>
      <c r="N135" s="187">
        <f t="shared" si="35"/>
        <v>234434.93076852325</v>
      </c>
      <c r="O135" s="187">
        <f t="shared" si="35"/>
        <v>121725.82943750249</v>
      </c>
      <c r="P135" s="187">
        <f t="shared" si="35"/>
        <v>0</v>
      </c>
      <c r="Q135" s="187">
        <f t="shared" si="35"/>
        <v>0</v>
      </c>
      <c r="R135" s="187">
        <f t="shared" si="35"/>
        <v>0</v>
      </c>
      <c r="S135" s="187">
        <f t="shared" si="35"/>
        <v>0</v>
      </c>
      <c r="T135" s="187">
        <f t="shared" si="35"/>
        <v>0</v>
      </c>
      <c r="U135" s="187">
        <f t="shared" si="35"/>
        <v>0</v>
      </c>
      <c r="V135" s="187">
        <f t="shared" si="35"/>
        <v>0</v>
      </c>
      <c r="W135" s="187">
        <f t="shared" si="35"/>
        <v>0</v>
      </c>
      <c r="X135" s="187">
        <f t="shared" si="35"/>
        <v>0</v>
      </c>
      <c r="Y135" s="187">
        <f t="shared" si="35"/>
        <v>0</v>
      </c>
      <c r="Z135" s="187">
        <f t="shared" si="35"/>
        <v>0</v>
      </c>
      <c r="AA135" s="187">
        <f t="shared" si="35"/>
        <v>0</v>
      </c>
      <c r="AB135" s="187">
        <f t="shared" si="35"/>
        <v>0</v>
      </c>
      <c r="AC135" s="187">
        <f t="shared" si="35"/>
        <v>0</v>
      </c>
      <c r="AD135" s="187">
        <f t="shared" si="35"/>
        <v>0</v>
      </c>
      <c r="AE135" s="187">
        <f t="shared" si="35"/>
        <v>0</v>
      </c>
      <c r="AF135" s="187">
        <f t="shared" si="35"/>
        <v>0</v>
      </c>
      <c r="AG135" s="187">
        <f t="shared" si="35"/>
        <v>0</v>
      </c>
      <c r="AH135" s="187">
        <f t="shared" si="35"/>
        <v>0</v>
      </c>
      <c r="AI135" s="187">
        <f t="shared" si="35"/>
        <v>0</v>
      </c>
      <c r="AJ135" s="187">
        <f t="shared" si="35"/>
        <v>0</v>
      </c>
    </row>
    <row r="136" spans="2:36" s="1" customFormat="1" ht="15.75" thickBot="1" x14ac:dyDescent="0.25">
      <c r="B136" s="180"/>
      <c r="C136" s="180"/>
      <c r="D136" s="180"/>
      <c r="E136" s="180"/>
      <c r="F136" s="180"/>
      <c r="G136" s="180"/>
      <c r="H136" s="180"/>
      <c r="I136" s="180"/>
      <c r="J136" s="180"/>
      <c r="K136" s="180"/>
      <c r="L136" s="180"/>
      <c r="M136" s="180"/>
      <c r="N136" s="180"/>
      <c r="O136" s="180"/>
      <c r="P136" s="180"/>
      <c r="Q136" s="180"/>
      <c r="R136" s="180"/>
      <c r="S136" s="180"/>
      <c r="T136" s="180"/>
      <c r="U136" s="180"/>
      <c r="V136" s="180"/>
      <c r="W136" s="180"/>
      <c r="X136" s="180"/>
      <c r="Y136" s="180"/>
      <c r="Z136" s="180"/>
      <c r="AA136" s="180"/>
      <c r="AB136" s="180"/>
      <c r="AC136" s="180"/>
      <c r="AD136" s="180"/>
      <c r="AE136" s="180"/>
      <c r="AF136" s="180"/>
      <c r="AG136" s="180"/>
      <c r="AH136" s="180"/>
      <c r="AI136" s="180"/>
      <c r="AJ136" s="180"/>
    </row>
    <row r="137" spans="2:36" x14ac:dyDescent="0.25">
      <c r="B137" s="199"/>
      <c r="C137" s="199"/>
      <c r="D137" s="199"/>
      <c r="E137" s="199"/>
      <c r="F137" s="199"/>
      <c r="G137" s="199"/>
      <c r="H137" s="199"/>
      <c r="I137" s="199"/>
      <c r="J137" s="199"/>
      <c r="K137" s="199"/>
      <c r="L137" s="199"/>
      <c r="M137" s="199"/>
      <c r="N137" s="199"/>
      <c r="O137" s="199"/>
      <c r="P137" s="199"/>
      <c r="Q137" s="199"/>
      <c r="R137" s="199"/>
      <c r="S137" s="199"/>
      <c r="T137" s="199"/>
      <c r="U137" s="199"/>
      <c r="V137" s="199"/>
      <c r="W137" s="199"/>
      <c r="X137" s="199"/>
      <c r="Y137" s="199"/>
      <c r="Z137" s="199"/>
      <c r="AA137" s="199"/>
      <c r="AB137" s="199"/>
      <c r="AC137" s="199"/>
      <c r="AD137" s="199"/>
      <c r="AE137" s="199"/>
      <c r="AF137" s="199"/>
      <c r="AG137" s="199"/>
      <c r="AH137" s="199"/>
      <c r="AI137" s="199"/>
      <c r="AJ137" s="199"/>
    </row>
    <row r="138" spans="2:36" s="1" customFormat="1" ht="15.75" x14ac:dyDescent="0.25">
      <c r="B138" s="160" t="s">
        <v>112</v>
      </c>
      <c r="C138" s="1176" t="s">
        <v>223</v>
      </c>
      <c r="D138" s="1176"/>
      <c r="E138" s="1176"/>
      <c r="F138" s="161"/>
      <c r="G138" s="161"/>
      <c r="H138" s="161"/>
      <c r="I138" s="161"/>
      <c r="J138" s="161"/>
      <c r="K138" s="161"/>
      <c r="L138" s="161"/>
      <c r="M138" s="161"/>
      <c r="N138" s="161"/>
      <c r="O138" s="161"/>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row>
    <row r="139" spans="2:36" s="1" customFormat="1" x14ac:dyDescent="0.2">
      <c r="B139" s="161" t="s">
        <v>92</v>
      </c>
      <c r="C139" s="162" t="s">
        <v>224</v>
      </c>
      <c r="D139" s="162" t="s">
        <v>225</v>
      </c>
      <c r="E139" s="162" t="s">
        <v>226</v>
      </c>
      <c r="F139" s="162">
        <v>0</v>
      </c>
      <c r="G139" s="162">
        <v>1</v>
      </c>
      <c r="H139" s="162">
        <v>2</v>
      </c>
      <c r="I139" s="162">
        <v>3</v>
      </c>
      <c r="J139" s="162">
        <v>4</v>
      </c>
      <c r="K139" s="162">
        <v>5</v>
      </c>
      <c r="L139" s="162">
        <v>6</v>
      </c>
      <c r="M139" s="162">
        <v>7</v>
      </c>
      <c r="N139" s="162">
        <v>8</v>
      </c>
      <c r="O139" s="162">
        <v>9</v>
      </c>
      <c r="P139" s="162">
        <v>10</v>
      </c>
      <c r="Q139" s="162">
        <v>11</v>
      </c>
      <c r="R139" s="162">
        <v>12</v>
      </c>
      <c r="S139" s="162">
        <v>13</v>
      </c>
      <c r="T139" s="162">
        <v>14</v>
      </c>
      <c r="U139" s="162">
        <v>15</v>
      </c>
      <c r="V139" s="162">
        <v>16</v>
      </c>
      <c r="W139" s="162">
        <v>17</v>
      </c>
      <c r="X139" s="162">
        <v>18</v>
      </c>
      <c r="Y139" s="162">
        <v>19</v>
      </c>
      <c r="Z139" s="162">
        <v>20</v>
      </c>
      <c r="AA139" s="162">
        <v>21</v>
      </c>
      <c r="AB139" s="162">
        <v>22</v>
      </c>
      <c r="AC139" s="162">
        <v>23</v>
      </c>
      <c r="AD139" s="162">
        <v>24</v>
      </c>
      <c r="AE139" s="162">
        <v>25</v>
      </c>
      <c r="AF139" s="162">
        <v>26</v>
      </c>
      <c r="AG139" s="162">
        <v>27</v>
      </c>
      <c r="AH139" s="162">
        <v>28</v>
      </c>
      <c r="AI139" s="162">
        <v>29</v>
      </c>
      <c r="AJ139" s="162">
        <v>30</v>
      </c>
    </row>
    <row r="140" spans="2:36" s="1" customFormat="1" ht="15.75" x14ac:dyDescent="0.25">
      <c r="B140" s="163" t="s">
        <v>93</v>
      </c>
      <c r="C140" s="164" t="s">
        <v>227</v>
      </c>
      <c r="D140" s="164" t="s">
        <v>101</v>
      </c>
      <c r="E140" s="164" t="s">
        <v>227</v>
      </c>
      <c r="F140" s="16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c r="AH140" s="161"/>
      <c r="AI140" s="161"/>
      <c r="AJ140" s="161"/>
    </row>
    <row r="141" spans="2:36" s="1" customFormat="1" ht="15.75" x14ac:dyDescent="0.25">
      <c r="B141" s="161" t="s">
        <v>55</v>
      </c>
      <c r="C141" s="165">
        <f>IF('Financial Inputs'!G29="Complex",'Complex Inputs'!F121,SUMPRODUCT('Financial Inputs'!$G$96:$G$100,'Financial Inputs'!$O$96:$O$100))</f>
        <v>1093450.2689563674</v>
      </c>
      <c r="D141" s="300">
        <f t="shared" ref="D141:D148" si="36">C141/$C$152</f>
        <v>0.28261381762505555</v>
      </c>
      <c r="E141" s="165">
        <f>($C$152-$C$154)*IF('Financial Inputs'!$P$68="No",1,(1-'Financial Inputs'!$P$69))*D141</f>
        <v>1093450.2689563674</v>
      </c>
      <c r="F141" s="166"/>
      <c r="G141" s="167">
        <v>0.2</v>
      </c>
      <c r="H141" s="167">
        <v>0.32</v>
      </c>
      <c r="I141" s="167">
        <v>0.192</v>
      </c>
      <c r="J141" s="167">
        <v>0.1152</v>
      </c>
      <c r="K141" s="167">
        <v>0.1152</v>
      </c>
      <c r="L141" s="167">
        <v>5.7599999999999998E-2</v>
      </c>
      <c r="M141" s="167">
        <v>0</v>
      </c>
      <c r="N141" s="167">
        <v>0</v>
      </c>
      <c r="O141" s="167">
        <v>0</v>
      </c>
      <c r="P141" s="167">
        <v>0</v>
      </c>
      <c r="Q141" s="167">
        <v>0</v>
      </c>
      <c r="R141" s="167">
        <v>0</v>
      </c>
      <c r="S141" s="167">
        <v>0</v>
      </c>
      <c r="T141" s="167">
        <v>0</v>
      </c>
      <c r="U141" s="167">
        <v>0</v>
      </c>
      <c r="V141" s="167">
        <v>0</v>
      </c>
      <c r="W141" s="167">
        <v>0</v>
      </c>
      <c r="X141" s="167">
        <v>0</v>
      </c>
      <c r="Y141" s="167">
        <v>0</v>
      </c>
      <c r="Z141" s="167">
        <v>0</v>
      </c>
      <c r="AA141" s="167">
        <v>0</v>
      </c>
      <c r="AB141" s="167">
        <v>0</v>
      </c>
      <c r="AC141" s="167">
        <v>0</v>
      </c>
      <c r="AD141" s="167">
        <v>0</v>
      </c>
      <c r="AE141" s="167">
        <v>0</v>
      </c>
      <c r="AF141" s="167">
        <v>0</v>
      </c>
      <c r="AG141" s="167">
        <v>0</v>
      </c>
      <c r="AH141" s="167">
        <v>0</v>
      </c>
      <c r="AI141" s="167">
        <v>0</v>
      </c>
      <c r="AJ141" s="167">
        <v>0</v>
      </c>
    </row>
    <row r="142" spans="2:36" s="1" customFormat="1" ht="15.75" x14ac:dyDescent="0.25">
      <c r="B142" s="161" t="s">
        <v>94</v>
      </c>
      <c r="C142" s="165">
        <f>IF('Financial Inputs'!G29="Complex",'Complex Inputs'!G121,SUMPRODUCT('Financial Inputs'!$G$96:$G$100,'Financial Inputs'!$P$96:$P$100))</f>
        <v>2136665.5156165063</v>
      </c>
      <c r="D142" s="300">
        <f t="shared" si="36"/>
        <v>0.55224386101484824</v>
      </c>
      <c r="E142" s="165">
        <f>($C$152-$C$154)*IF('Financial Inputs'!$P$68="No",1,(1-'Financial Inputs'!$P$69))*D142</f>
        <v>2136665.5156165063</v>
      </c>
      <c r="F142" s="161"/>
      <c r="G142" s="167">
        <v>0.1429</v>
      </c>
      <c r="H142" s="167">
        <v>0.24490000000000001</v>
      </c>
      <c r="I142" s="167">
        <v>0.1749</v>
      </c>
      <c r="J142" s="167">
        <v>0.1249</v>
      </c>
      <c r="K142" s="167">
        <v>8.9300000000000004E-2</v>
      </c>
      <c r="L142" s="167">
        <v>8.9200000000000002E-2</v>
      </c>
      <c r="M142" s="167">
        <v>8.9300000000000004E-2</v>
      </c>
      <c r="N142" s="167">
        <v>4.4600000000000001E-2</v>
      </c>
      <c r="O142" s="167">
        <v>0</v>
      </c>
      <c r="P142" s="167">
        <v>0</v>
      </c>
      <c r="Q142" s="167">
        <v>0</v>
      </c>
      <c r="R142" s="167">
        <v>0</v>
      </c>
      <c r="S142" s="167">
        <v>0</v>
      </c>
      <c r="T142" s="167">
        <v>0</v>
      </c>
      <c r="U142" s="167">
        <v>0</v>
      </c>
      <c r="V142" s="167">
        <v>0</v>
      </c>
      <c r="W142" s="167">
        <v>0</v>
      </c>
      <c r="X142" s="167">
        <v>0</v>
      </c>
      <c r="Y142" s="167">
        <v>0</v>
      </c>
      <c r="Z142" s="167">
        <v>0</v>
      </c>
      <c r="AA142" s="167">
        <v>0</v>
      </c>
      <c r="AB142" s="167">
        <v>0</v>
      </c>
      <c r="AC142" s="167">
        <v>0</v>
      </c>
      <c r="AD142" s="167">
        <v>0</v>
      </c>
      <c r="AE142" s="167">
        <v>0</v>
      </c>
      <c r="AF142" s="167">
        <v>0</v>
      </c>
      <c r="AG142" s="167">
        <v>0</v>
      </c>
      <c r="AH142" s="167">
        <v>0</v>
      </c>
      <c r="AI142" s="167">
        <v>0</v>
      </c>
      <c r="AJ142" s="167">
        <v>0</v>
      </c>
    </row>
    <row r="143" spans="2:36" s="1" customFormat="1" ht="15.75" x14ac:dyDescent="0.25">
      <c r="B143" s="161" t="s">
        <v>56</v>
      </c>
      <c r="C143" s="165">
        <f>IF('Financial Inputs'!G29="Complex",'Complex Inputs'!H121,SUMPRODUCT('Financial Inputs'!$G$96:$G$100,'Financial Inputs'!$Q$96:$Q$100))</f>
        <v>0</v>
      </c>
      <c r="D143" s="300">
        <f t="shared" si="36"/>
        <v>0</v>
      </c>
      <c r="E143" s="165">
        <f>($C$152-$C$154)*IF('Financial Inputs'!$P$68="No",1,(1-'Financial Inputs'!$P$69))*D143</f>
        <v>0</v>
      </c>
      <c r="F143" s="161"/>
      <c r="G143" s="167">
        <v>0.05</v>
      </c>
      <c r="H143" s="167">
        <v>9.5000000000000001E-2</v>
      </c>
      <c r="I143" s="167">
        <v>8.5500000000000007E-2</v>
      </c>
      <c r="J143" s="167">
        <v>7.6999999999999999E-2</v>
      </c>
      <c r="K143" s="167">
        <v>6.93E-2</v>
      </c>
      <c r="L143" s="167">
        <v>6.2300000000000001E-2</v>
      </c>
      <c r="M143" s="167">
        <v>5.8999999999999997E-2</v>
      </c>
      <c r="N143" s="167">
        <v>5.8999999999999997E-2</v>
      </c>
      <c r="O143" s="167">
        <v>5.91E-2</v>
      </c>
      <c r="P143" s="167">
        <v>5.8999999999999997E-2</v>
      </c>
      <c r="Q143" s="167">
        <v>5.91E-2</v>
      </c>
      <c r="R143" s="167">
        <v>5.8999999999999997E-2</v>
      </c>
      <c r="S143" s="167">
        <v>5.91E-2</v>
      </c>
      <c r="T143" s="167">
        <v>5.8999999999999997E-2</v>
      </c>
      <c r="U143" s="167">
        <v>5.91E-2</v>
      </c>
      <c r="V143" s="167">
        <v>2.9499999999999998E-2</v>
      </c>
      <c r="W143" s="167">
        <v>0</v>
      </c>
      <c r="X143" s="167">
        <v>0</v>
      </c>
      <c r="Y143" s="167">
        <v>0</v>
      </c>
      <c r="Z143" s="167">
        <v>0</v>
      </c>
      <c r="AA143" s="167">
        <v>0</v>
      </c>
      <c r="AB143" s="167">
        <v>0</v>
      </c>
      <c r="AC143" s="167">
        <v>0</v>
      </c>
      <c r="AD143" s="167">
        <v>0</v>
      </c>
      <c r="AE143" s="167">
        <v>0</v>
      </c>
      <c r="AF143" s="167">
        <v>0</v>
      </c>
      <c r="AG143" s="167">
        <v>0</v>
      </c>
      <c r="AH143" s="167">
        <v>0</v>
      </c>
      <c r="AI143" s="167">
        <v>0</v>
      </c>
      <c r="AJ143" s="167">
        <v>0</v>
      </c>
    </row>
    <row r="144" spans="2:36" s="1" customFormat="1" ht="15.75" x14ac:dyDescent="0.25">
      <c r="B144" s="161" t="s">
        <v>57</v>
      </c>
      <c r="C144" s="165">
        <f>IF('Financial Inputs'!G29="Complex",'Complex Inputs'!I121,SUMPRODUCT('Financial Inputs'!$G$96:$G$100,'Financial Inputs'!$T$96:$T$100))</f>
        <v>298417.98258571845</v>
      </c>
      <c r="D144" s="300">
        <f t="shared" si="36"/>
        <v>7.7129292205499092E-2</v>
      </c>
      <c r="E144" s="165">
        <f>($C$152-$C$154)*IF('Financial Inputs'!$P$68="No",1,(1-'Financial Inputs'!$P$69))*D144</f>
        <v>298417.98258571845</v>
      </c>
      <c r="F144" s="161"/>
      <c r="G144" s="167">
        <v>3.7499999999999999E-2</v>
      </c>
      <c r="H144" s="167">
        <v>7.2190000000000004E-2</v>
      </c>
      <c r="I144" s="167">
        <v>6.6769999999999996E-2</v>
      </c>
      <c r="J144" s="167">
        <v>6.1769999999999999E-2</v>
      </c>
      <c r="K144" s="167">
        <v>5.713E-2</v>
      </c>
      <c r="L144" s="167">
        <v>5.2850000000000001E-2</v>
      </c>
      <c r="M144" s="167">
        <v>4.888E-2</v>
      </c>
      <c r="N144" s="167">
        <v>4.5220000000000003E-2</v>
      </c>
      <c r="O144" s="167">
        <v>4.462E-2</v>
      </c>
      <c r="P144" s="167">
        <v>4.4609999999999997E-2</v>
      </c>
      <c r="Q144" s="167">
        <v>4.462E-2</v>
      </c>
      <c r="R144" s="167">
        <v>4.4609999999999997E-2</v>
      </c>
      <c r="S144" s="167">
        <v>4.462E-2</v>
      </c>
      <c r="T144" s="167">
        <v>4.4609999999999997E-2</v>
      </c>
      <c r="U144" s="167">
        <v>4.462E-2</v>
      </c>
      <c r="V144" s="167">
        <v>4.4609999999999997E-2</v>
      </c>
      <c r="W144" s="167">
        <v>4.462E-2</v>
      </c>
      <c r="X144" s="167">
        <v>4.4609999999999997E-2</v>
      </c>
      <c r="Y144" s="167">
        <v>4.462E-2</v>
      </c>
      <c r="Z144" s="167">
        <v>4.4609999999999997E-2</v>
      </c>
      <c r="AA144" s="167">
        <v>2.231E-2</v>
      </c>
      <c r="AB144" s="167">
        <v>0</v>
      </c>
      <c r="AC144" s="167">
        <v>0</v>
      </c>
      <c r="AD144" s="167">
        <v>0</v>
      </c>
      <c r="AE144" s="167">
        <v>0</v>
      </c>
      <c r="AF144" s="167">
        <v>0</v>
      </c>
      <c r="AG144" s="167">
        <v>0</v>
      </c>
      <c r="AH144" s="167">
        <v>0</v>
      </c>
      <c r="AI144" s="167">
        <v>0</v>
      </c>
      <c r="AJ144" s="167">
        <v>0</v>
      </c>
    </row>
    <row r="145" spans="2:36" s="1" customFormat="1" ht="15.75" x14ac:dyDescent="0.25">
      <c r="B145" s="161" t="s">
        <v>95</v>
      </c>
      <c r="C145" s="165">
        <f>IF('Financial Inputs'!G29="Complex",'Complex Inputs'!J121,SUMPRODUCT('Financial Inputs'!$G$96:$G$100,'Financial Inputs'!$U$96:$U$100))</f>
        <v>0</v>
      </c>
      <c r="D145" s="300">
        <f t="shared" si="36"/>
        <v>0</v>
      </c>
      <c r="E145" s="165">
        <f>($C$152-$C$154)*IF('Financial Inputs'!$P$68="No",1,(1-'Financial Inputs'!$P$69))*D145</f>
        <v>0</v>
      </c>
      <c r="F145" s="161"/>
      <c r="G145" s="167">
        <v>0.1</v>
      </c>
      <c r="H145" s="167">
        <v>0.2</v>
      </c>
      <c r="I145" s="167">
        <v>0.2</v>
      </c>
      <c r="J145" s="167">
        <v>0.2</v>
      </c>
      <c r="K145" s="167">
        <v>0.2</v>
      </c>
      <c r="L145" s="167">
        <v>0.1</v>
      </c>
      <c r="M145" s="167">
        <f t="shared" ref="M145:AJ145" si="37">IF(M$139&lt;=5, 1/5,0)</f>
        <v>0</v>
      </c>
      <c r="N145" s="167">
        <f t="shared" si="37"/>
        <v>0</v>
      </c>
      <c r="O145" s="167">
        <f t="shared" si="37"/>
        <v>0</v>
      </c>
      <c r="P145" s="167">
        <f t="shared" si="37"/>
        <v>0</v>
      </c>
      <c r="Q145" s="167">
        <f t="shared" si="37"/>
        <v>0</v>
      </c>
      <c r="R145" s="167">
        <f t="shared" si="37"/>
        <v>0</v>
      </c>
      <c r="S145" s="167">
        <f t="shared" si="37"/>
        <v>0</v>
      </c>
      <c r="T145" s="167">
        <f t="shared" si="37"/>
        <v>0</v>
      </c>
      <c r="U145" s="167">
        <f t="shared" si="37"/>
        <v>0</v>
      </c>
      <c r="V145" s="167">
        <f t="shared" si="37"/>
        <v>0</v>
      </c>
      <c r="W145" s="167">
        <f t="shared" si="37"/>
        <v>0</v>
      </c>
      <c r="X145" s="167">
        <f t="shared" si="37"/>
        <v>0</v>
      </c>
      <c r="Y145" s="167">
        <f t="shared" si="37"/>
        <v>0</v>
      </c>
      <c r="Z145" s="167">
        <f t="shared" si="37"/>
        <v>0</v>
      </c>
      <c r="AA145" s="167">
        <f t="shared" si="37"/>
        <v>0</v>
      </c>
      <c r="AB145" s="167">
        <f t="shared" si="37"/>
        <v>0</v>
      </c>
      <c r="AC145" s="167">
        <f t="shared" si="37"/>
        <v>0</v>
      </c>
      <c r="AD145" s="167">
        <f t="shared" si="37"/>
        <v>0</v>
      </c>
      <c r="AE145" s="167">
        <f t="shared" si="37"/>
        <v>0</v>
      </c>
      <c r="AF145" s="167">
        <f t="shared" si="37"/>
        <v>0</v>
      </c>
      <c r="AG145" s="167">
        <f t="shared" si="37"/>
        <v>0</v>
      </c>
      <c r="AH145" s="167">
        <f t="shared" si="37"/>
        <v>0</v>
      </c>
      <c r="AI145" s="167">
        <f t="shared" si="37"/>
        <v>0</v>
      </c>
      <c r="AJ145" s="167">
        <f t="shared" si="37"/>
        <v>0</v>
      </c>
    </row>
    <row r="146" spans="2:36" s="1" customFormat="1" ht="15.75" x14ac:dyDescent="0.25">
      <c r="B146" s="161" t="s">
        <v>96</v>
      </c>
      <c r="C146" s="165">
        <f>IF('Financial Inputs'!G29="Complex",'Complex Inputs'!K121,SUMPRODUCT('Financial Inputs'!$G$96:$G$100,'Financial Inputs'!$V$96:$V$100))</f>
        <v>0</v>
      </c>
      <c r="D146" s="300">
        <f t="shared" si="36"/>
        <v>0</v>
      </c>
      <c r="E146" s="165">
        <f>($C$152-$C$154)*IF('Financial Inputs'!$P$68="No",1,(1-'Financial Inputs'!$P$69))*D146</f>
        <v>0</v>
      </c>
      <c r="F146" s="161"/>
      <c r="G146" s="167">
        <v>3.3300000000000003E-2</v>
      </c>
      <c r="H146" s="167">
        <v>6.6699999999999995E-2</v>
      </c>
      <c r="I146" s="167">
        <v>6.6699999999999995E-2</v>
      </c>
      <c r="J146" s="167">
        <v>6.6699999999999995E-2</v>
      </c>
      <c r="K146" s="167">
        <v>6.6699999999999995E-2</v>
      </c>
      <c r="L146" s="167">
        <v>6.6699999999999995E-2</v>
      </c>
      <c r="M146" s="167">
        <v>6.6699999999999995E-2</v>
      </c>
      <c r="N146" s="167">
        <v>6.6699999999999995E-2</v>
      </c>
      <c r="O146" s="167">
        <v>6.6699999999999995E-2</v>
      </c>
      <c r="P146" s="167">
        <v>6.6699999999999995E-2</v>
      </c>
      <c r="Q146" s="167">
        <v>6.6699999999999995E-2</v>
      </c>
      <c r="R146" s="167">
        <v>6.6600000000000006E-2</v>
      </c>
      <c r="S146" s="167">
        <v>6.6600000000000006E-2</v>
      </c>
      <c r="T146" s="167">
        <v>6.6600000000000006E-2</v>
      </c>
      <c r="U146" s="167">
        <v>6.6600000000000006E-2</v>
      </c>
      <c r="V146" s="167">
        <v>3.3300000000000003E-2</v>
      </c>
      <c r="W146" s="167">
        <f t="shared" ref="W146:AJ146" si="38">IF(W$139&lt;=15, 1/15,0)</f>
        <v>0</v>
      </c>
      <c r="X146" s="167">
        <f t="shared" si="38"/>
        <v>0</v>
      </c>
      <c r="Y146" s="167">
        <f t="shared" si="38"/>
        <v>0</v>
      </c>
      <c r="Z146" s="167">
        <f t="shared" si="38"/>
        <v>0</v>
      </c>
      <c r="AA146" s="167">
        <f t="shared" si="38"/>
        <v>0</v>
      </c>
      <c r="AB146" s="167">
        <f t="shared" si="38"/>
        <v>0</v>
      </c>
      <c r="AC146" s="167">
        <f t="shared" si="38"/>
        <v>0</v>
      </c>
      <c r="AD146" s="167">
        <f t="shared" si="38"/>
        <v>0</v>
      </c>
      <c r="AE146" s="167">
        <f t="shared" si="38"/>
        <v>0</v>
      </c>
      <c r="AF146" s="167">
        <f t="shared" si="38"/>
        <v>0</v>
      </c>
      <c r="AG146" s="167">
        <f t="shared" si="38"/>
        <v>0</v>
      </c>
      <c r="AH146" s="167">
        <f t="shared" si="38"/>
        <v>0</v>
      </c>
      <c r="AI146" s="167">
        <f t="shared" si="38"/>
        <v>0</v>
      </c>
      <c r="AJ146" s="167">
        <f t="shared" si="38"/>
        <v>0</v>
      </c>
    </row>
    <row r="147" spans="2:36" s="1" customFormat="1" ht="15.75" x14ac:dyDescent="0.25">
      <c r="B147" s="161" t="s">
        <v>58</v>
      </c>
      <c r="C147" s="165">
        <f>IF('Financial Inputs'!G29="Complex",'Complex Inputs'!L121,SUMPRODUCT('Financial Inputs'!$G$96:$G$100,'Financial Inputs'!$W$96:$W$100))</f>
        <v>143381.36922039805</v>
      </c>
      <c r="D147" s="300">
        <f t="shared" si="36"/>
        <v>3.7058435378464649E-2</v>
      </c>
      <c r="E147" s="165">
        <f>($C$152-$C$154)*IF('Financial Inputs'!$P$68="No",1,(1-'Financial Inputs'!$P$69))*D147</f>
        <v>143381.36922039805</v>
      </c>
      <c r="F147" s="161"/>
      <c r="G147" s="167">
        <v>2.5000000000000001E-2</v>
      </c>
      <c r="H147" s="167">
        <v>0.05</v>
      </c>
      <c r="I147" s="167">
        <v>0.05</v>
      </c>
      <c r="J147" s="167">
        <v>0.05</v>
      </c>
      <c r="K147" s="167">
        <v>0.05</v>
      </c>
      <c r="L147" s="167">
        <v>0.05</v>
      </c>
      <c r="M147" s="167">
        <v>0.05</v>
      </c>
      <c r="N147" s="167">
        <v>0.05</v>
      </c>
      <c r="O147" s="167">
        <v>0.05</v>
      </c>
      <c r="P147" s="167">
        <v>0.05</v>
      </c>
      <c r="Q147" s="167">
        <v>0.05</v>
      </c>
      <c r="R147" s="167">
        <v>0.05</v>
      </c>
      <c r="S147" s="167">
        <v>0.05</v>
      </c>
      <c r="T147" s="167">
        <v>0.05</v>
      </c>
      <c r="U147" s="167">
        <v>0.05</v>
      </c>
      <c r="V147" s="167">
        <v>0.05</v>
      </c>
      <c r="W147" s="167">
        <v>0.05</v>
      </c>
      <c r="X147" s="167">
        <v>0.05</v>
      </c>
      <c r="Y147" s="167">
        <v>0.05</v>
      </c>
      <c r="Z147" s="167">
        <v>0.05</v>
      </c>
      <c r="AA147" s="167">
        <v>2.5000000000000001E-2</v>
      </c>
      <c r="AB147" s="167">
        <f t="shared" ref="AB147:AJ147" si="39">IF(AB$139&lt;=20, 1/20,0)</f>
        <v>0</v>
      </c>
      <c r="AC147" s="167">
        <f t="shared" si="39"/>
        <v>0</v>
      </c>
      <c r="AD147" s="167">
        <f t="shared" si="39"/>
        <v>0</v>
      </c>
      <c r="AE147" s="167">
        <f t="shared" si="39"/>
        <v>0</v>
      </c>
      <c r="AF147" s="167">
        <f t="shared" si="39"/>
        <v>0</v>
      </c>
      <c r="AG147" s="167">
        <f t="shared" si="39"/>
        <v>0</v>
      </c>
      <c r="AH147" s="167">
        <f t="shared" si="39"/>
        <v>0</v>
      </c>
      <c r="AI147" s="167">
        <f t="shared" si="39"/>
        <v>0</v>
      </c>
      <c r="AJ147" s="167">
        <f t="shared" si="39"/>
        <v>0</v>
      </c>
    </row>
    <row r="148" spans="2:36" s="1" customFormat="1" ht="15.75" x14ac:dyDescent="0.25">
      <c r="B148" s="161" t="s">
        <v>59</v>
      </c>
      <c r="C148" s="165">
        <f>IF('Financial Inputs'!G29="Complex",'Complex Inputs'!M121,SUMPRODUCT('Financial Inputs'!$G$96:$G$100,'Financial Inputs'!$X$96:$X$100))</f>
        <v>0</v>
      </c>
      <c r="D148" s="300">
        <f t="shared" si="36"/>
        <v>0</v>
      </c>
      <c r="E148" s="165">
        <f>($C$152-$C$154)*IF('Financial Inputs'!$P$68="No",1,(1-'Financial Inputs'!$P$69))*D148</f>
        <v>0</v>
      </c>
      <c r="F148" s="161"/>
      <c r="G148" s="167">
        <v>1.2800000000000001E-2</v>
      </c>
      <c r="H148" s="167">
        <v>2.5600000000000001E-2</v>
      </c>
      <c r="I148" s="167">
        <v>2.5600000000000001E-2</v>
      </c>
      <c r="J148" s="167">
        <v>2.5600000000000001E-2</v>
      </c>
      <c r="K148" s="167">
        <v>2.5600000000000001E-2</v>
      </c>
      <c r="L148" s="167">
        <v>2.5600000000000001E-2</v>
      </c>
      <c r="M148" s="167">
        <v>2.5600000000000001E-2</v>
      </c>
      <c r="N148" s="167">
        <v>2.5600000000000001E-2</v>
      </c>
      <c r="O148" s="167">
        <v>2.5600000000000001E-2</v>
      </c>
      <c r="P148" s="167">
        <v>2.5600000000000001E-2</v>
      </c>
      <c r="Q148" s="167">
        <v>2.5600000000000001E-2</v>
      </c>
      <c r="R148" s="167">
        <v>2.5600000000000001E-2</v>
      </c>
      <c r="S148" s="167">
        <v>2.5600000000000001E-2</v>
      </c>
      <c r="T148" s="167">
        <v>2.5600000000000001E-2</v>
      </c>
      <c r="U148" s="167">
        <v>2.5600000000000001E-2</v>
      </c>
      <c r="V148" s="167">
        <v>2.5600000000000001E-2</v>
      </c>
      <c r="W148" s="167">
        <v>2.5600000000000001E-2</v>
      </c>
      <c r="X148" s="167">
        <v>2.5600000000000001E-2</v>
      </c>
      <c r="Y148" s="167">
        <v>2.5600000000000001E-2</v>
      </c>
      <c r="Z148" s="167">
        <v>2.5600000000000001E-2</v>
      </c>
      <c r="AA148" s="167">
        <v>2.5600000000000001E-2</v>
      </c>
      <c r="AB148" s="167">
        <v>2.5600000000000001E-2</v>
      </c>
      <c r="AC148" s="167">
        <v>2.5600000000000001E-2</v>
      </c>
      <c r="AD148" s="167">
        <v>2.5600000000000001E-2</v>
      </c>
      <c r="AE148" s="167">
        <v>2.5600000000000001E-2</v>
      </c>
      <c r="AF148" s="167">
        <v>2.5600000000000001E-2</v>
      </c>
      <c r="AG148" s="167">
        <v>2.5600000000000001E-2</v>
      </c>
      <c r="AH148" s="167">
        <v>2.5600000000000001E-2</v>
      </c>
      <c r="AI148" s="167">
        <v>2.5600000000000001E-2</v>
      </c>
      <c r="AJ148" s="167">
        <v>2.5600000000000001E-2</v>
      </c>
    </row>
    <row r="149" spans="2:36" s="1" customFormat="1" ht="15.75" x14ac:dyDescent="0.25">
      <c r="B149" s="161" t="s">
        <v>220</v>
      </c>
      <c r="C149" s="165"/>
      <c r="D149" s="300"/>
      <c r="E149" s="165">
        <f>($C$152-$C$154)*IF('Financial Inputs'!$P$68="No",0,'Financial Inputs'!$P$69)</f>
        <v>0</v>
      </c>
      <c r="F149" s="161"/>
      <c r="G149" s="167">
        <v>1</v>
      </c>
      <c r="H149" s="167">
        <v>0</v>
      </c>
      <c r="I149" s="167">
        <v>0</v>
      </c>
      <c r="J149" s="167">
        <v>0</v>
      </c>
      <c r="K149" s="167">
        <v>0</v>
      </c>
      <c r="L149" s="167">
        <v>0</v>
      </c>
      <c r="M149" s="167">
        <v>0</v>
      </c>
      <c r="N149" s="167">
        <v>0</v>
      </c>
      <c r="O149" s="167">
        <v>0</v>
      </c>
      <c r="P149" s="167">
        <v>0</v>
      </c>
      <c r="Q149" s="167">
        <v>0</v>
      </c>
      <c r="R149" s="167">
        <v>0</v>
      </c>
      <c r="S149" s="167">
        <v>0</v>
      </c>
      <c r="T149" s="167">
        <v>0</v>
      </c>
      <c r="U149" s="167">
        <v>0</v>
      </c>
      <c r="V149" s="167">
        <v>0</v>
      </c>
      <c r="W149" s="167">
        <v>0</v>
      </c>
      <c r="X149" s="167">
        <v>0</v>
      </c>
      <c r="Y149" s="167">
        <v>0</v>
      </c>
      <c r="Z149" s="167">
        <v>0</v>
      </c>
      <c r="AA149" s="167">
        <v>0</v>
      </c>
      <c r="AB149" s="167">
        <v>0</v>
      </c>
      <c r="AC149" s="167">
        <v>0</v>
      </c>
      <c r="AD149" s="167">
        <v>0</v>
      </c>
      <c r="AE149" s="167">
        <v>0</v>
      </c>
      <c r="AF149" s="167">
        <v>0</v>
      </c>
      <c r="AG149" s="167">
        <v>0</v>
      </c>
      <c r="AH149" s="167">
        <v>0</v>
      </c>
      <c r="AI149" s="167">
        <v>0</v>
      </c>
      <c r="AJ149" s="167">
        <v>0</v>
      </c>
    </row>
    <row r="150" spans="2:36" s="1" customFormat="1" x14ac:dyDescent="0.2">
      <c r="B150" s="173" t="s">
        <v>19</v>
      </c>
      <c r="C150" s="302">
        <f>IF('Financial Inputs'!G29="Complex",'Complex Inputs'!N121,SUMPRODUCT('Financial Inputs'!$G$96:$G$100,'Financial Inputs'!$Y$96:$Y$100))</f>
        <v>197146.46204239567</v>
      </c>
      <c r="D150" s="303">
        <f>C150/$C$152</f>
        <v>5.0954593776132519E-2</v>
      </c>
      <c r="E150" s="302">
        <f>($C$152-$C$154)*IF('Financial Inputs'!$P$68="No",1,(1-'Financial Inputs'!$P$69))*D150</f>
        <v>197146.46204239567</v>
      </c>
      <c r="F150" s="161"/>
      <c r="G150" s="168"/>
      <c r="H150" s="168"/>
      <c r="I150" s="168"/>
      <c r="J150" s="168"/>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row>
    <row r="151" spans="2:36" s="1" customFormat="1" ht="15.75" x14ac:dyDescent="0.25">
      <c r="B151" s="224"/>
      <c r="C151" s="299" t="s">
        <v>228</v>
      </c>
      <c r="D151" s="299"/>
      <c r="E151" s="299" t="s">
        <v>229</v>
      </c>
      <c r="F151" s="161"/>
      <c r="G151" s="168"/>
      <c r="H151" s="168"/>
      <c r="I151" s="168"/>
      <c r="J151" s="168"/>
      <c r="K151" s="168"/>
      <c r="L151" s="168"/>
      <c r="M151" s="168"/>
      <c r="N151" s="168"/>
      <c r="O151" s="168"/>
      <c r="P151" s="168"/>
      <c r="Q151" s="168"/>
      <c r="R151" s="168"/>
      <c r="S151" s="168"/>
      <c r="T151" s="168"/>
      <c r="U151" s="168"/>
      <c r="V151" s="168"/>
      <c r="W151" s="168"/>
      <c r="X151" s="168"/>
      <c r="Y151" s="168"/>
      <c r="Z151" s="168"/>
      <c r="AA151" s="168"/>
      <c r="AB151" s="168"/>
      <c r="AC151" s="168"/>
      <c r="AD151" s="168"/>
      <c r="AE151" s="168"/>
      <c r="AF151" s="168"/>
      <c r="AG151" s="168"/>
      <c r="AH151" s="168"/>
      <c r="AI151" s="168"/>
      <c r="AJ151" s="168"/>
    </row>
    <row r="152" spans="2:36" s="1" customFormat="1" ht="15.75" x14ac:dyDescent="0.25">
      <c r="B152" s="160" t="s">
        <v>230</v>
      </c>
      <c r="C152" s="170">
        <f>SUM(C141:C150)</f>
        <v>3869061.5984213855</v>
      </c>
      <c r="D152" s="300">
        <f>SUM(D141:D150)</f>
        <v>1</v>
      </c>
      <c r="E152" s="170">
        <f>SUM(E141:E150)</f>
        <v>3869061.5984213855</v>
      </c>
      <c r="F152" s="161"/>
      <c r="G152" s="168"/>
      <c r="H152" s="168"/>
      <c r="I152" s="168"/>
      <c r="J152" s="168"/>
      <c r="K152" s="168"/>
      <c r="L152" s="168"/>
      <c r="M152" s="168"/>
      <c r="N152" s="168"/>
      <c r="O152" s="168"/>
      <c r="P152" s="168"/>
      <c r="Q152" s="168"/>
      <c r="R152" s="168"/>
      <c r="S152" s="168"/>
      <c r="T152" s="168"/>
      <c r="U152" s="168"/>
      <c r="V152" s="168"/>
      <c r="W152" s="168"/>
      <c r="X152" s="168"/>
      <c r="Y152" s="168"/>
      <c r="Z152" s="168"/>
      <c r="AA152" s="168"/>
      <c r="AB152" s="168"/>
      <c r="AC152" s="168"/>
      <c r="AD152" s="168"/>
      <c r="AE152" s="168"/>
      <c r="AF152" s="168"/>
      <c r="AG152" s="168"/>
      <c r="AH152" s="168"/>
      <c r="AI152" s="168"/>
      <c r="AJ152" s="168"/>
    </row>
    <row r="153" spans="2:36" s="1" customFormat="1" x14ac:dyDescent="0.2">
      <c r="B153" s="224"/>
      <c r="C153" s="301" t="str">
        <f>IF(C152='Financial Inputs'!$G$41,"OK","error")</f>
        <v>OK</v>
      </c>
      <c r="D153" s="301" t="str">
        <f>IF(D152=100%,"OK","error")</f>
        <v>OK</v>
      </c>
      <c r="E153" s="301" t="str">
        <f>IF(E152=(C152-C154),"OK","error")</f>
        <v>OK</v>
      </c>
      <c r="F153" s="161"/>
      <c r="G153" s="168"/>
      <c r="H153" s="168"/>
      <c r="I153" s="168"/>
      <c r="J153" s="168"/>
      <c r="K153" s="168"/>
      <c r="L153" s="168"/>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row>
    <row r="154" spans="2:36" s="1" customFormat="1" x14ac:dyDescent="0.2">
      <c r="B154" s="161" t="s">
        <v>219</v>
      </c>
      <c r="C154" s="165">
        <f>IF(OR('Financial Inputs'!$P$14="Performance-Based",'Financial Inputs'!$P$14="Neither"),0,50%*'Financial Inputs'!$P$18)+IF('Financial Inputs'!$P$29="Yes",0,'Financial Inputs'!$P$28)+IF('Financial Inputs'!$P$46="Yes",0,IF('Financial Inputs'!$P$45=0,'Financial Inputs'!G51,MIN('Financial Inputs'!$P$45,'Financial Inputs'!G51)))</f>
        <v>0</v>
      </c>
      <c r="D154" s="161"/>
      <c r="E154" s="165"/>
      <c r="F154" s="161"/>
      <c r="G154" s="168"/>
      <c r="H154" s="168"/>
      <c r="I154" s="168"/>
      <c r="J154" s="168"/>
      <c r="K154" s="168"/>
      <c r="L154" s="168"/>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c r="AJ154" s="168"/>
    </row>
    <row r="155" spans="2:36" s="1" customFormat="1" x14ac:dyDescent="0.2">
      <c r="B155" s="161"/>
      <c r="C155" s="161"/>
      <c r="D155" s="161"/>
      <c r="E155" s="165"/>
      <c r="F155" s="161"/>
      <c r="G155" s="168"/>
      <c r="H155" s="168"/>
      <c r="I155" s="168"/>
      <c r="J155" s="168"/>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row>
    <row r="156" spans="2:36" s="1" customFormat="1" ht="15.75" x14ac:dyDescent="0.25">
      <c r="B156" s="163" t="s">
        <v>113</v>
      </c>
      <c r="C156" s="163"/>
      <c r="D156" s="163"/>
      <c r="E156" s="161"/>
      <c r="F156" s="161"/>
      <c r="G156" s="168"/>
      <c r="H156" s="168"/>
      <c r="I156" s="168"/>
      <c r="J156" s="168"/>
      <c r="K156" s="168"/>
      <c r="L156" s="168"/>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c r="AJ156" s="168"/>
    </row>
    <row r="157" spans="2:36" s="1" customFormat="1" x14ac:dyDescent="0.2">
      <c r="B157" s="161" t="s">
        <v>60</v>
      </c>
      <c r="C157" s="161"/>
      <c r="D157" s="161"/>
      <c r="E157" s="169" t="s">
        <v>103</v>
      </c>
      <c r="F157" s="170"/>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row>
    <row r="158" spans="2:36" s="1" customFormat="1" x14ac:dyDescent="0.2">
      <c r="B158" s="161" t="s">
        <v>55</v>
      </c>
      <c r="C158" s="161"/>
      <c r="D158" s="161"/>
      <c r="E158" s="170">
        <f>SUM(G158:AJ158)</f>
        <v>1093450.2689563674</v>
      </c>
      <c r="F158" s="170"/>
      <c r="G158" s="171">
        <f>$E141*G141</f>
        <v>218690.0537912735</v>
      </c>
      <c r="H158" s="171">
        <f t="shared" ref="H158:AJ158" si="40">$E141*H141</f>
        <v>349904.08606603759</v>
      </c>
      <c r="I158" s="171">
        <f t="shared" si="40"/>
        <v>209942.45163962254</v>
      </c>
      <c r="J158" s="171">
        <f t="shared" si="40"/>
        <v>125965.47098377351</v>
      </c>
      <c r="K158" s="171">
        <f t="shared" si="40"/>
        <v>125965.47098377351</v>
      </c>
      <c r="L158" s="171">
        <f t="shared" si="40"/>
        <v>62982.735491886757</v>
      </c>
      <c r="M158" s="171">
        <f t="shared" si="40"/>
        <v>0</v>
      </c>
      <c r="N158" s="171">
        <f t="shared" si="40"/>
        <v>0</v>
      </c>
      <c r="O158" s="171">
        <f t="shared" si="40"/>
        <v>0</v>
      </c>
      <c r="P158" s="171">
        <f t="shared" si="40"/>
        <v>0</v>
      </c>
      <c r="Q158" s="171">
        <f t="shared" si="40"/>
        <v>0</v>
      </c>
      <c r="R158" s="171">
        <f t="shared" si="40"/>
        <v>0</v>
      </c>
      <c r="S158" s="171">
        <f t="shared" si="40"/>
        <v>0</v>
      </c>
      <c r="T158" s="171">
        <f t="shared" si="40"/>
        <v>0</v>
      </c>
      <c r="U158" s="171">
        <f t="shared" si="40"/>
        <v>0</v>
      </c>
      <c r="V158" s="171">
        <f t="shared" si="40"/>
        <v>0</v>
      </c>
      <c r="W158" s="171">
        <f t="shared" si="40"/>
        <v>0</v>
      </c>
      <c r="X158" s="171">
        <f t="shared" si="40"/>
        <v>0</v>
      </c>
      <c r="Y158" s="171">
        <f t="shared" si="40"/>
        <v>0</v>
      </c>
      <c r="Z158" s="171">
        <f t="shared" si="40"/>
        <v>0</v>
      </c>
      <c r="AA158" s="171">
        <f t="shared" si="40"/>
        <v>0</v>
      </c>
      <c r="AB158" s="171">
        <f t="shared" si="40"/>
        <v>0</v>
      </c>
      <c r="AC158" s="171">
        <f t="shared" si="40"/>
        <v>0</v>
      </c>
      <c r="AD158" s="171">
        <f t="shared" si="40"/>
        <v>0</v>
      </c>
      <c r="AE158" s="171">
        <f t="shared" si="40"/>
        <v>0</v>
      </c>
      <c r="AF158" s="171">
        <f t="shared" si="40"/>
        <v>0</v>
      </c>
      <c r="AG158" s="171">
        <f t="shared" si="40"/>
        <v>0</v>
      </c>
      <c r="AH158" s="171">
        <f t="shared" si="40"/>
        <v>0</v>
      </c>
      <c r="AI158" s="171">
        <f t="shared" si="40"/>
        <v>0</v>
      </c>
      <c r="AJ158" s="171">
        <f t="shared" si="40"/>
        <v>0</v>
      </c>
    </row>
    <row r="159" spans="2:36" s="1" customFormat="1" x14ac:dyDescent="0.2">
      <c r="B159" s="161" t="s">
        <v>94</v>
      </c>
      <c r="C159" s="161"/>
      <c r="D159" s="161"/>
      <c r="E159" s="170">
        <f t="shared" ref="E159:E166" si="41">SUM(G159:AJ159)</f>
        <v>2136665.5156165063</v>
      </c>
      <c r="F159" s="170"/>
      <c r="G159" s="171">
        <f t="shared" ref="G159:AJ159" si="42">$E142*G142</f>
        <v>305329.50218159874</v>
      </c>
      <c r="H159" s="171">
        <f t="shared" si="42"/>
        <v>523269.3847744824</v>
      </c>
      <c r="I159" s="171">
        <f t="shared" si="42"/>
        <v>373702.79868132697</v>
      </c>
      <c r="J159" s="171">
        <f t="shared" si="42"/>
        <v>266869.52290050162</v>
      </c>
      <c r="K159" s="171">
        <f t="shared" si="42"/>
        <v>190804.23054455401</v>
      </c>
      <c r="L159" s="171">
        <f t="shared" si="42"/>
        <v>190590.56399299236</v>
      </c>
      <c r="M159" s="171">
        <f t="shared" si="42"/>
        <v>190804.23054455401</v>
      </c>
      <c r="N159" s="171">
        <f t="shared" si="42"/>
        <v>95295.281996496182</v>
      </c>
      <c r="O159" s="171">
        <f t="shared" si="42"/>
        <v>0</v>
      </c>
      <c r="P159" s="171">
        <f t="shared" si="42"/>
        <v>0</v>
      </c>
      <c r="Q159" s="171">
        <f t="shared" si="42"/>
        <v>0</v>
      </c>
      <c r="R159" s="171">
        <f t="shared" si="42"/>
        <v>0</v>
      </c>
      <c r="S159" s="171">
        <f t="shared" si="42"/>
        <v>0</v>
      </c>
      <c r="T159" s="171">
        <f t="shared" si="42"/>
        <v>0</v>
      </c>
      <c r="U159" s="171">
        <f t="shared" si="42"/>
        <v>0</v>
      </c>
      <c r="V159" s="171">
        <f t="shared" si="42"/>
        <v>0</v>
      </c>
      <c r="W159" s="171">
        <f t="shared" si="42"/>
        <v>0</v>
      </c>
      <c r="X159" s="171">
        <f t="shared" si="42"/>
        <v>0</v>
      </c>
      <c r="Y159" s="171">
        <f t="shared" si="42"/>
        <v>0</v>
      </c>
      <c r="Z159" s="171">
        <f t="shared" si="42"/>
        <v>0</v>
      </c>
      <c r="AA159" s="171">
        <f t="shared" si="42"/>
        <v>0</v>
      </c>
      <c r="AB159" s="171">
        <f t="shared" si="42"/>
        <v>0</v>
      </c>
      <c r="AC159" s="171">
        <f t="shared" si="42"/>
        <v>0</v>
      </c>
      <c r="AD159" s="171">
        <f t="shared" si="42"/>
        <v>0</v>
      </c>
      <c r="AE159" s="171">
        <f t="shared" si="42"/>
        <v>0</v>
      </c>
      <c r="AF159" s="171">
        <f t="shared" si="42"/>
        <v>0</v>
      </c>
      <c r="AG159" s="171">
        <f t="shared" si="42"/>
        <v>0</v>
      </c>
      <c r="AH159" s="171">
        <f t="shared" si="42"/>
        <v>0</v>
      </c>
      <c r="AI159" s="171">
        <f t="shared" si="42"/>
        <v>0</v>
      </c>
      <c r="AJ159" s="171">
        <f t="shared" si="42"/>
        <v>0</v>
      </c>
    </row>
    <row r="160" spans="2:36" s="1" customFormat="1" x14ac:dyDescent="0.2">
      <c r="B160" s="161" t="s">
        <v>56</v>
      </c>
      <c r="C160" s="161"/>
      <c r="D160" s="161"/>
      <c r="E160" s="170">
        <f t="shared" si="41"/>
        <v>0</v>
      </c>
      <c r="F160" s="170"/>
      <c r="G160" s="171">
        <f t="shared" ref="G160:AJ160" si="43">$E143*G143</f>
        <v>0</v>
      </c>
      <c r="H160" s="171">
        <f t="shared" si="43"/>
        <v>0</v>
      </c>
      <c r="I160" s="171">
        <f t="shared" si="43"/>
        <v>0</v>
      </c>
      <c r="J160" s="171">
        <f t="shared" si="43"/>
        <v>0</v>
      </c>
      <c r="K160" s="171">
        <f t="shared" si="43"/>
        <v>0</v>
      </c>
      <c r="L160" s="171">
        <f t="shared" si="43"/>
        <v>0</v>
      </c>
      <c r="M160" s="171">
        <f t="shared" si="43"/>
        <v>0</v>
      </c>
      <c r="N160" s="171">
        <f t="shared" si="43"/>
        <v>0</v>
      </c>
      <c r="O160" s="171">
        <f t="shared" si="43"/>
        <v>0</v>
      </c>
      <c r="P160" s="171">
        <f t="shared" si="43"/>
        <v>0</v>
      </c>
      <c r="Q160" s="171">
        <f t="shared" si="43"/>
        <v>0</v>
      </c>
      <c r="R160" s="171">
        <f t="shared" si="43"/>
        <v>0</v>
      </c>
      <c r="S160" s="171">
        <f t="shared" si="43"/>
        <v>0</v>
      </c>
      <c r="T160" s="171">
        <f t="shared" si="43"/>
        <v>0</v>
      </c>
      <c r="U160" s="171">
        <f t="shared" si="43"/>
        <v>0</v>
      </c>
      <c r="V160" s="171">
        <f t="shared" si="43"/>
        <v>0</v>
      </c>
      <c r="W160" s="171">
        <f t="shared" si="43"/>
        <v>0</v>
      </c>
      <c r="X160" s="171">
        <f t="shared" si="43"/>
        <v>0</v>
      </c>
      <c r="Y160" s="171">
        <f t="shared" si="43"/>
        <v>0</v>
      </c>
      <c r="Z160" s="171">
        <f t="shared" si="43"/>
        <v>0</v>
      </c>
      <c r="AA160" s="171">
        <f t="shared" si="43"/>
        <v>0</v>
      </c>
      <c r="AB160" s="171">
        <f t="shared" si="43"/>
        <v>0</v>
      </c>
      <c r="AC160" s="171">
        <f t="shared" si="43"/>
        <v>0</v>
      </c>
      <c r="AD160" s="171">
        <f t="shared" si="43"/>
        <v>0</v>
      </c>
      <c r="AE160" s="171">
        <f t="shared" si="43"/>
        <v>0</v>
      </c>
      <c r="AF160" s="171">
        <f t="shared" si="43"/>
        <v>0</v>
      </c>
      <c r="AG160" s="171">
        <f t="shared" si="43"/>
        <v>0</v>
      </c>
      <c r="AH160" s="171">
        <f t="shared" si="43"/>
        <v>0</v>
      </c>
      <c r="AI160" s="171">
        <f t="shared" si="43"/>
        <v>0</v>
      </c>
      <c r="AJ160" s="171">
        <f t="shared" si="43"/>
        <v>0</v>
      </c>
    </row>
    <row r="161" spans="2:36" s="1" customFormat="1" x14ac:dyDescent="0.2">
      <c r="B161" s="161" t="s">
        <v>57</v>
      </c>
      <c r="C161" s="161"/>
      <c r="D161" s="161"/>
      <c r="E161" s="170">
        <f t="shared" si="41"/>
        <v>298417.98258571845</v>
      </c>
      <c r="F161" s="170"/>
      <c r="G161" s="171">
        <f t="shared" ref="G161:AJ161" si="44">$E144*G144</f>
        <v>11190.674346964441</v>
      </c>
      <c r="H161" s="171">
        <f t="shared" si="44"/>
        <v>21542.794162863014</v>
      </c>
      <c r="I161" s="171">
        <f t="shared" si="44"/>
        <v>19925.368697248421</v>
      </c>
      <c r="J161" s="171">
        <f t="shared" si="44"/>
        <v>18433.278784319828</v>
      </c>
      <c r="K161" s="171">
        <f t="shared" si="44"/>
        <v>17048.619345122093</v>
      </c>
      <c r="L161" s="171">
        <f t="shared" si="44"/>
        <v>15771.39037965522</v>
      </c>
      <c r="M161" s="171">
        <f t="shared" si="44"/>
        <v>14586.670988789918</v>
      </c>
      <c r="N161" s="171">
        <f t="shared" si="44"/>
        <v>13494.461172526189</v>
      </c>
      <c r="O161" s="171">
        <f t="shared" si="44"/>
        <v>13315.410382974756</v>
      </c>
      <c r="P161" s="171">
        <f t="shared" si="44"/>
        <v>13312.4262031489</v>
      </c>
      <c r="Q161" s="171">
        <f t="shared" si="44"/>
        <v>13315.410382974756</v>
      </c>
      <c r="R161" s="171">
        <f t="shared" si="44"/>
        <v>13312.4262031489</v>
      </c>
      <c r="S161" s="171">
        <f t="shared" si="44"/>
        <v>13315.410382974756</v>
      </c>
      <c r="T161" s="171">
        <f t="shared" si="44"/>
        <v>13312.4262031489</v>
      </c>
      <c r="U161" s="171">
        <f t="shared" si="44"/>
        <v>13315.410382974756</v>
      </c>
      <c r="V161" s="171">
        <f t="shared" si="44"/>
        <v>13312.4262031489</v>
      </c>
      <c r="W161" s="171">
        <f t="shared" si="44"/>
        <v>13315.410382974756</v>
      </c>
      <c r="X161" s="171">
        <f t="shared" si="44"/>
        <v>13312.4262031489</v>
      </c>
      <c r="Y161" s="171">
        <f t="shared" si="44"/>
        <v>13315.410382974756</v>
      </c>
      <c r="Z161" s="171">
        <f t="shared" si="44"/>
        <v>13312.4262031489</v>
      </c>
      <c r="AA161" s="171">
        <f t="shared" si="44"/>
        <v>6657.7051914873782</v>
      </c>
      <c r="AB161" s="171">
        <f t="shared" si="44"/>
        <v>0</v>
      </c>
      <c r="AC161" s="171">
        <f t="shared" si="44"/>
        <v>0</v>
      </c>
      <c r="AD161" s="171">
        <f t="shared" si="44"/>
        <v>0</v>
      </c>
      <c r="AE161" s="171">
        <f t="shared" si="44"/>
        <v>0</v>
      </c>
      <c r="AF161" s="171">
        <f t="shared" si="44"/>
        <v>0</v>
      </c>
      <c r="AG161" s="171">
        <f t="shared" si="44"/>
        <v>0</v>
      </c>
      <c r="AH161" s="171">
        <f t="shared" si="44"/>
        <v>0</v>
      </c>
      <c r="AI161" s="171">
        <f t="shared" si="44"/>
        <v>0</v>
      </c>
      <c r="AJ161" s="171">
        <f t="shared" si="44"/>
        <v>0</v>
      </c>
    </row>
    <row r="162" spans="2:36" s="1" customFormat="1" x14ac:dyDescent="0.2">
      <c r="B162" s="161" t="s">
        <v>95</v>
      </c>
      <c r="C162" s="161"/>
      <c r="D162" s="161"/>
      <c r="E162" s="170">
        <f t="shared" si="41"/>
        <v>0</v>
      </c>
      <c r="F162" s="170"/>
      <c r="G162" s="171">
        <f t="shared" ref="G162:AJ162" si="45">$E145*G145</f>
        <v>0</v>
      </c>
      <c r="H162" s="171">
        <f t="shared" si="45"/>
        <v>0</v>
      </c>
      <c r="I162" s="171">
        <f t="shared" si="45"/>
        <v>0</v>
      </c>
      <c r="J162" s="171">
        <f t="shared" si="45"/>
        <v>0</v>
      </c>
      <c r="K162" s="171">
        <f t="shared" si="45"/>
        <v>0</v>
      </c>
      <c r="L162" s="171">
        <f t="shared" si="45"/>
        <v>0</v>
      </c>
      <c r="M162" s="171">
        <f t="shared" si="45"/>
        <v>0</v>
      </c>
      <c r="N162" s="171">
        <f t="shared" si="45"/>
        <v>0</v>
      </c>
      <c r="O162" s="171">
        <f t="shared" si="45"/>
        <v>0</v>
      </c>
      <c r="P162" s="171">
        <f t="shared" si="45"/>
        <v>0</v>
      </c>
      <c r="Q162" s="171">
        <f t="shared" si="45"/>
        <v>0</v>
      </c>
      <c r="R162" s="171">
        <f t="shared" si="45"/>
        <v>0</v>
      </c>
      <c r="S162" s="171">
        <f t="shared" si="45"/>
        <v>0</v>
      </c>
      <c r="T162" s="171">
        <f t="shared" si="45"/>
        <v>0</v>
      </c>
      <c r="U162" s="171">
        <f t="shared" si="45"/>
        <v>0</v>
      </c>
      <c r="V162" s="171">
        <f t="shared" si="45"/>
        <v>0</v>
      </c>
      <c r="W162" s="171">
        <f t="shared" si="45"/>
        <v>0</v>
      </c>
      <c r="X162" s="171">
        <f t="shared" si="45"/>
        <v>0</v>
      </c>
      <c r="Y162" s="171">
        <f t="shared" si="45"/>
        <v>0</v>
      </c>
      <c r="Z162" s="171">
        <f t="shared" si="45"/>
        <v>0</v>
      </c>
      <c r="AA162" s="171">
        <f t="shared" si="45"/>
        <v>0</v>
      </c>
      <c r="AB162" s="171">
        <f t="shared" si="45"/>
        <v>0</v>
      </c>
      <c r="AC162" s="171">
        <f t="shared" si="45"/>
        <v>0</v>
      </c>
      <c r="AD162" s="171">
        <f t="shared" si="45"/>
        <v>0</v>
      </c>
      <c r="AE162" s="171">
        <f t="shared" si="45"/>
        <v>0</v>
      </c>
      <c r="AF162" s="171">
        <f t="shared" si="45"/>
        <v>0</v>
      </c>
      <c r="AG162" s="171">
        <f t="shared" si="45"/>
        <v>0</v>
      </c>
      <c r="AH162" s="171">
        <f t="shared" si="45"/>
        <v>0</v>
      </c>
      <c r="AI162" s="171">
        <f t="shared" si="45"/>
        <v>0</v>
      </c>
      <c r="AJ162" s="171">
        <f t="shared" si="45"/>
        <v>0</v>
      </c>
    </row>
    <row r="163" spans="2:36" s="1" customFormat="1" x14ac:dyDescent="0.2">
      <c r="B163" s="161" t="s">
        <v>96</v>
      </c>
      <c r="C163" s="161"/>
      <c r="D163" s="161"/>
      <c r="E163" s="170">
        <f t="shared" si="41"/>
        <v>0</v>
      </c>
      <c r="F163" s="170"/>
      <c r="G163" s="171">
        <f t="shared" ref="G163:AJ163" si="46">$E146*G146</f>
        <v>0</v>
      </c>
      <c r="H163" s="171">
        <f t="shared" si="46"/>
        <v>0</v>
      </c>
      <c r="I163" s="171">
        <f t="shared" si="46"/>
        <v>0</v>
      </c>
      <c r="J163" s="171">
        <f t="shared" si="46"/>
        <v>0</v>
      </c>
      <c r="K163" s="171">
        <f t="shared" si="46"/>
        <v>0</v>
      </c>
      <c r="L163" s="171">
        <f t="shared" si="46"/>
        <v>0</v>
      </c>
      <c r="M163" s="171">
        <f t="shared" si="46"/>
        <v>0</v>
      </c>
      <c r="N163" s="171">
        <f t="shared" si="46"/>
        <v>0</v>
      </c>
      <c r="O163" s="171">
        <f t="shared" si="46"/>
        <v>0</v>
      </c>
      <c r="P163" s="171">
        <f t="shared" si="46"/>
        <v>0</v>
      </c>
      <c r="Q163" s="171">
        <f t="shared" si="46"/>
        <v>0</v>
      </c>
      <c r="R163" s="171">
        <f t="shared" si="46"/>
        <v>0</v>
      </c>
      <c r="S163" s="171">
        <f t="shared" si="46"/>
        <v>0</v>
      </c>
      <c r="T163" s="171">
        <f t="shared" si="46"/>
        <v>0</v>
      </c>
      <c r="U163" s="171">
        <f t="shared" si="46"/>
        <v>0</v>
      </c>
      <c r="V163" s="171">
        <f t="shared" si="46"/>
        <v>0</v>
      </c>
      <c r="W163" s="171">
        <f t="shared" si="46"/>
        <v>0</v>
      </c>
      <c r="X163" s="171">
        <f t="shared" si="46"/>
        <v>0</v>
      </c>
      <c r="Y163" s="171">
        <f t="shared" si="46"/>
        <v>0</v>
      </c>
      <c r="Z163" s="171">
        <f t="shared" si="46"/>
        <v>0</v>
      </c>
      <c r="AA163" s="171">
        <f t="shared" si="46"/>
        <v>0</v>
      </c>
      <c r="AB163" s="171">
        <f t="shared" si="46"/>
        <v>0</v>
      </c>
      <c r="AC163" s="171">
        <f t="shared" si="46"/>
        <v>0</v>
      </c>
      <c r="AD163" s="171">
        <f t="shared" si="46"/>
        <v>0</v>
      </c>
      <c r="AE163" s="171">
        <f t="shared" si="46"/>
        <v>0</v>
      </c>
      <c r="AF163" s="171">
        <f t="shared" si="46"/>
        <v>0</v>
      </c>
      <c r="AG163" s="171">
        <f t="shared" si="46"/>
        <v>0</v>
      </c>
      <c r="AH163" s="171">
        <f t="shared" si="46"/>
        <v>0</v>
      </c>
      <c r="AI163" s="171">
        <f t="shared" si="46"/>
        <v>0</v>
      </c>
      <c r="AJ163" s="171">
        <f t="shared" si="46"/>
        <v>0</v>
      </c>
    </row>
    <row r="164" spans="2:36" s="1" customFormat="1" x14ac:dyDescent="0.2">
      <c r="B164" s="161" t="s">
        <v>58</v>
      </c>
      <c r="C164" s="161"/>
      <c r="D164" s="161"/>
      <c r="E164" s="170">
        <f t="shared" si="41"/>
        <v>143381.36922039799</v>
      </c>
      <c r="F164" s="170"/>
      <c r="G164" s="171">
        <f t="shared" ref="G164:AJ164" si="47">$E147*G147</f>
        <v>3584.5342305099512</v>
      </c>
      <c r="H164" s="171">
        <f t="shared" si="47"/>
        <v>7169.0684610199023</v>
      </c>
      <c r="I164" s="171">
        <f t="shared" si="47"/>
        <v>7169.0684610199023</v>
      </c>
      <c r="J164" s="171">
        <f t="shared" si="47"/>
        <v>7169.0684610199023</v>
      </c>
      <c r="K164" s="171">
        <f t="shared" si="47"/>
        <v>7169.0684610199023</v>
      </c>
      <c r="L164" s="171">
        <f t="shared" si="47"/>
        <v>7169.0684610199023</v>
      </c>
      <c r="M164" s="171">
        <f t="shared" si="47"/>
        <v>7169.0684610199023</v>
      </c>
      <c r="N164" s="171">
        <f t="shared" si="47"/>
        <v>7169.0684610199023</v>
      </c>
      <c r="O164" s="171">
        <f t="shared" si="47"/>
        <v>7169.0684610199023</v>
      </c>
      <c r="P164" s="171">
        <f t="shared" si="47"/>
        <v>7169.0684610199023</v>
      </c>
      <c r="Q164" s="171">
        <f t="shared" si="47"/>
        <v>7169.0684610199023</v>
      </c>
      <c r="R164" s="171">
        <f t="shared" si="47"/>
        <v>7169.0684610199023</v>
      </c>
      <c r="S164" s="171">
        <f t="shared" si="47"/>
        <v>7169.0684610199023</v>
      </c>
      <c r="T164" s="171">
        <f t="shared" si="47"/>
        <v>7169.0684610199023</v>
      </c>
      <c r="U164" s="171">
        <f t="shared" si="47"/>
        <v>7169.0684610199023</v>
      </c>
      <c r="V164" s="171">
        <f t="shared" si="47"/>
        <v>7169.0684610199023</v>
      </c>
      <c r="W164" s="171">
        <f t="shared" si="47"/>
        <v>7169.0684610199023</v>
      </c>
      <c r="X164" s="171">
        <f t="shared" si="47"/>
        <v>7169.0684610199023</v>
      </c>
      <c r="Y164" s="171">
        <f t="shared" si="47"/>
        <v>7169.0684610199023</v>
      </c>
      <c r="Z164" s="171">
        <f t="shared" si="47"/>
        <v>7169.0684610199023</v>
      </c>
      <c r="AA164" s="171">
        <f t="shared" si="47"/>
        <v>3584.5342305099512</v>
      </c>
      <c r="AB164" s="171">
        <f t="shared" si="47"/>
        <v>0</v>
      </c>
      <c r="AC164" s="171">
        <f t="shared" si="47"/>
        <v>0</v>
      </c>
      <c r="AD164" s="171">
        <f t="shared" si="47"/>
        <v>0</v>
      </c>
      <c r="AE164" s="171">
        <f t="shared" si="47"/>
        <v>0</v>
      </c>
      <c r="AF164" s="171">
        <f t="shared" si="47"/>
        <v>0</v>
      </c>
      <c r="AG164" s="171">
        <f t="shared" si="47"/>
        <v>0</v>
      </c>
      <c r="AH164" s="171">
        <f t="shared" si="47"/>
        <v>0</v>
      </c>
      <c r="AI164" s="171">
        <f t="shared" si="47"/>
        <v>0</v>
      </c>
      <c r="AJ164" s="171">
        <f t="shared" si="47"/>
        <v>0</v>
      </c>
    </row>
    <row r="165" spans="2:36" s="1" customFormat="1" x14ac:dyDescent="0.2">
      <c r="B165" s="161" t="s">
        <v>59</v>
      </c>
      <c r="C165" s="161"/>
      <c r="D165" s="161"/>
      <c r="E165" s="170">
        <f t="shared" si="41"/>
        <v>0</v>
      </c>
      <c r="F165" s="170"/>
      <c r="G165" s="171">
        <f t="shared" ref="G165:AJ165" si="48">$E148*G148</f>
        <v>0</v>
      </c>
      <c r="H165" s="171">
        <f t="shared" si="48"/>
        <v>0</v>
      </c>
      <c r="I165" s="171">
        <f t="shared" si="48"/>
        <v>0</v>
      </c>
      <c r="J165" s="171">
        <f t="shared" si="48"/>
        <v>0</v>
      </c>
      <c r="K165" s="171">
        <f t="shared" si="48"/>
        <v>0</v>
      </c>
      <c r="L165" s="171">
        <f t="shared" si="48"/>
        <v>0</v>
      </c>
      <c r="M165" s="171">
        <f t="shared" si="48"/>
        <v>0</v>
      </c>
      <c r="N165" s="171">
        <f t="shared" si="48"/>
        <v>0</v>
      </c>
      <c r="O165" s="171">
        <f t="shared" si="48"/>
        <v>0</v>
      </c>
      <c r="P165" s="171">
        <f t="shared" si="48"/>
        <v>0</v>
      </c>
      <c r="Q165" s="171">
        <f t="shared" si="48"/>
        <v>0</v>
      </c>
      <c r="R165" s="171">
        <f t="shared" si="48"/>
        <v>0</v>
      </c>
      <c r="S165" s="171">
        <f t="shared" si="48"/>
        <v>0</v>
      </c>
      <c r="T165" s="171">
        <f t="shared" si="48"/>
        <v>0</v>
      </c>
      <c r="U165" s="171">
        <f t="shared" si="48"/>
        <v>0</v>
      </c>
      <c r="V165" s="171">
        <f t="shared" si="48"/>
        <v>0</v>
      </c>
      <c r="W165" s="171">
        <f t="shared" si="48"/>
        <v>0</v>
      </c>
      <c r="X165" s="171">
        <f t="shared" si="48"/>
        <v>0</v>
      </c>
      <c r="Y165" s="171">
        <f t="shared" si="48"/>
        <v>0</v>
      </c>
      <c r="Z165" s="171">
        <f t="shared" si="48"/>
        <v>0</v>
      </c>
      <c r="AA165" s="171">
        <f t="shared" si="48"/>
        <v>0</v>
      </c>
      <c r="AB165" s="171">
        <f t="shared" si="48"/>
        <v>0</v>
      </c>
      <c r="AC165" s="171">
        <f t="shared" si="48"/>
        <v>0</v>
      </c>
      <c r="AD165" s="171">
        <f t="shared" si="48"/>
        <v>0</v>
      </c>
      <c r="AE165" s="171">
        <f t="shared" si="48"/>
        <v>0</v>
      </c>
      <c r="AF165" s="171">
        <f t="shared" si="48"/>
        <v>0</v>
      </c>
      <c r="AG165" s="171">
        <f t="shared" si="48"/>
        <v>0</v>
      </c>
      <c r="AH165" s="171">
        <f t="shared" si="48"/>
        <v>0</v>
      </c>
      <c r="AI165" s="171">
        <f t="shared" si="48"/>
        <v>0</v>
      </c>
      <c r="AJ165" s="171">
        <f t="shared" si="48"/>
        <v>0</v>
      </c>
    </row>
    <row r="166" spans="2:36" s="1" customFormat="1" x14ac:dyDescent="0.2">
      <c r="B166" s="161" t="s">
        <v>220</v>
      </c>
      <c r="C166" s="161"/>
      <c r="D166" s="161"/>
      <c r="E166" s="170">
        <f t="shared" si="41"/>
        <v>0</v>
      </c>
      <c r="F166" s="170"/>
      <c r="G166" s="171">
        <f t="shared" ref="G166:AJ166" si="49">$E149*G149</f>
        <v>0</v>
      </c>
      <c r="H166" s="171">
        <f t="shared" si="49"/>
        <v>0</v>
      </c>
      <c r="I166" s="171">
        <f t="shared" si="49"/>
        <v>0</v>
      </c>
      <c r="J166" s="171">
        <f t="shared" si="49"/>
        <v>0</v>
      </c>
      <c r="K166" s="171">
        <f t="shared" si="49"/>
        <v>0</v>
      </c>
      <c r="L166" s="171">
        <f t="shared" si="49"/>
        <v>0</v>
      </c>
      <c r="M166" s="171">
        <f t="shared" si="49"/>
        <v>0</v>
      </c>
      <c r="N166" s="171">
        <f t="shared" si="49"/>
        <v>0</v>
      </c>
      <c r="O166" s="171">
        <f t="shared" si="49"/>
        <v>0</v>
      </c>
      <c r="P166" s="171">
        <f t="shared" si="49"/>
        <v>0</v>
      </c>
      <c r="Q166" s="171">
        <f t="shared" si="49"/>
        <v>0</v>
      </c>
      <c r="R166" s="171">
        <f t="shared" si="49"/>
        <v>0</v>
      </c>
      <c r="S166" s="171">
        <f t="shared" si="49"/>
        <v>0</v>
      </c>
      <c r="T166" s="171">
        <f t="shared" si="49"/>
        <v>0</v>
      </c>
      <c r="U166" s="171">
        <f t="shared" si="49"/>
        <v>0</v>
      </c>
      <c r="V166" s="171">
        <f t="shared" si="49"/>
        <v>0</v>
      </c>
      <c r="W166" s="171">
        <f t="shared" si="49"/>
        <v>0</v>
      </c>
      <c r="X166" s="171">
        <f t="shared" si="49"/>
        <v>0</v>
      </c>
      <c r="Y166" s="171">
        <f t="shared" si="49"/>
        <v>0</v>
      </c>
      <c r="Z166" s="171">
        <f t="shared" si="49"/>
        <v>0</v>
      </c>
      <c r="AA166" s="171">
        <f t="shared" si="49"/>
        <v>0</v>
      </c>
      <c r="AB166" s="171">
        <f t="shared" si="49"/>
        <v>0</v>
      </c>
      <c r="AC166" s="171">
        <f t="shared" si="49"/>
        <v>0</v>
      </c>
      <c r="AD166" s="171">
        <f t="shared" si="49"/>
        <v>0</v>
      </c>
      <c r="AE166" s="171">
        <f t="shared" si="49"/>
        <v>0</v>
      </c>
      <c r="AF166" s="171">
        <f t="shared" si="49"/>
        <v>0</v>
      </c>
      <c r="AG166" s="171">
        <f t="shared" si="49"/>
        <v>0</v>
      </c>
      <c r="AH166" s="171">
        <f t="shared" si="49"/>
        <v>0</v>
      </c>
      <c r="AI166" s="171">
        <f t="shared" si="49"/>
        <v>0</v>
      </c>
      <c r="AJ166" s="171">
        <f t="shared" si="49"/>
        <v>0</v>
      </c>
    </row>
    <row r="167" spans="2:36" s="1" customFormat="1" x14ac:dyDescent="0.2">
      <c r="B167" s="173" t="s">
        <v>19</v>
      </c>
      <c r="C167" s="173"/>
      <c r="D167" s="173"/>
      <c r="E167" s="174">
        <f>E150</f>
        <v>197146.46204239567</v>
      </c>
      <c r="F167" s="170"/>
      <c r="G167" s="172"/>
      <c r="H167" s="172"/>
      <c r="I167" s="172"/>
      <c r="J167" s="172"/>
      <c r="K167" s="172"/>
      <c r="L167" s="172"/>
      <c r="M167" s="172"/>
      <c r="N167" s="172"/>
      <c r="O167" s="172"/>
      <c r="P167" s="172"/>
      <c r="Q167" s="172"/>
      <c r="R167" s="172"/>
      <c r="S167" s="172"/>
      <c r="T167" s="172"/>
      <c r="U167" s="172"/>
      <c r="V167" s="172"/>
      <c r="W167" s="172"/>
      <c r="X167" s="172"/>
      <c r="Y167" s="172"/>
      <c r="Z167" s="172"/>
      <c r="AA167" s="172"/>
      <c r="AB167" s="172"/>
      <c r="AC167" s="172"/>
      <c r="AD167" s="172"/>
      <c r="AE167" s="172"/>
      <c r="AF167" s="172"/>
      <c r="AG167" s="172"/>
      <c r="AH167" s="172"/>
      <c r="AI167" s="172"/>
      <c r="AJ167" s="172"/>
    </row>
    <row r="168" spans="2:36" s="1" customFormat="1" x14ac:dyDescent="0.2">
      <c r="B168" s="161" t="s">
        <v>61</v>
      </c>
      <c r="C168" s="161"/>
      <c r="D168" s="161"/>
      <c r="E168" s="170">
        <f>SUM(E158:E167)</f>
        <v>3869061.5984213855</v>
      </c>
      <c r="F168" s="175" t="str">
        <f>IF(ROUND(E168,0)=ROUND(E152,0),"OK","error")</f>
        <v>OK</v>
      </c>
      <c r="G168" s="172"/>
      <c r="H168" s="172"/>
      <c r="I168" s="172"/>
      <c r="J168" s="172"/>
      <c r="K168" s="172"/>
      <c r="L168" s="172"/>
      <c r="M168" s="172"/>
      <c r="N168" s="172"/>
      <c r="O168" s="172"/>
      <c r="P168" s="172"/>
      <c r="Q168" s="172"/>
      <c r="R168" s="172"/>
      <c r="S168" s="172"/>
      <c r="T168" s="172"/>
      <c r="U168" s="172"/>
      <c r="V168" s="172"/>
      <c r="W168" s="172"/>
      <c r="X168" s="172"/>
      <c r="Y168" s="172"/>
      <c r="Z168" s="172"/>
      <c r="AA168" s="172"/>
      <c r="AB168" s="172"/>
      <c r="AC168" s="172"/>
      <c r="AD168" s="172"/>
      <c r="AE168" s="172"/>
      <c r="AF168" s="172"/>
      <c r="AG168" s="172"/>
      <c r="AH168" s="172"/>
      <c r="AI168" s="172"/>
      <c r="AJ168" s="172"/>
    </row>
    <row r="169" spans="2:36" s="1" customFormat="1" x14ac:dyDescent="0.2">
      <c r="B169" s="161"/>
      <c r="C169" s="161"/>
      <c r="D169" s="161"/>
      <c r="E169" s="170"/>
      <c r="F169" s="175"/>
      <c r="G169" s="172"/>
      <c r="H169" s="172"/>
      <c r="I169" s="172"/>
      <c r="J169" s="172"/>
      <c r="K169" s="172"/>
      <c r="L169" s="172"/>
      <c r="M169" s="172"/>
      <c r="N169" s="172"/>
      <c r="O169" s="172"/>
      <c r="P169" s="172"/>
      <c r="Q169" s="172"/>
      <c r="R169" s="172"/>
      <c r="S169" s="172"/>
      <c r="T169" s="172"/>
      <c r="U169" s="172"/>
      <c r="V169" s="172"/>
      <c r="W169" s="172"/>
      <c r="X169" s="172"/>
      <c r="Y169" s="172"/>
      <c r="Z169" s="172"/>
      <c r="AA169" s="172"/>
      <c r="AB169" s="172"/>
      <c r="AC169" s="172"/>
      <c r="AD169" s="172"/>
      <c r="AE169" s="172"/>
      <c r="AF169" s="172"/>
      <c r="AG169" s="172"/>
      <c r="AH169" s="172"/>
      <c r="AI169" s="172"/>
      <c r="AJ169" s="172"/>
    </row>
    <row r="170" spans="2:36" s="1" customFormat="1" ht="15.75" x14ac:dyDescent="0.25">
      <c r="B170" s="163" t="s">
        <v>114</v>
      </c>
      <c r="C170" s="163"/>
      <c r="D170" s="163"/>
      <c r="E170" s="170"/>
      <c r="F170" s="175"/>
      <c r="G170" s="172"/>
      <c r="H170" s="172"/>
      <c r="I170" s="172"/>
      <c r="J170" s="172"/>
      <c r="K170" s="172"/>
      <c r="L170" s="172"/>
      <c r="M170" s="172"/>
      <c r="N170" s="172"/>
      <c r="O170" s="172"/>
      <c r="P170" s="172"/>
      <c r="Q170" s="172"/>
      <c r="R170" s="172"/>
      <c r="S170" s="172"/>
      <c r="T170" s="172"/>
      <c r="U170" s="172"/>
      <c r="V170" s="172"/>
      <c r="W170" s="172"/>
      <c r="X170" s="172"/>
      <c r="Y170" s="172"/>
      <c r="Z170" s="172"/>
      <c r="AA170" s="172"/>
      <c r="AB170" s="172"/>
      <c r="AC170" s="172"/>
      <c r="AD170" s="172"/>
      <c r="AE170" s="172"/>
      <c r="AF170" s="172"/>
      <c r="AG170" s="172"/>
      <c r="AH170" s="172"/>
      <c r="AI170" s="172"/>
      <c r="AJ170" s="172"/>
    </row>
    <row r="171" spans="2:36" s="1" customFormat="1" ht="15.75" x14ac:dyDescent="0.25">
      <c r="B171" s="161" t="str">
        <f>"Year of life of "&amp;'Financial Inputs'!N163</f>
        <v>Year of life of Sludge cleanout</v>
      </c>
      <c r="C171" s="163"/>
      <c r="D171" s="163"/>
      <c r="E171" s="170"/>
      <c r="F171" s="175"/>
      <c r="G171" s="172"/>
      <c r="H171" s="176">
        <f>IF(H2='Financial Inputs'!$G$24,0,IF(H2&lt;'Financial Inputs'!$G$24,IF(MOD(H2,'Financial Inputs'!$P$163)=0,'Financial Inputs'!$P$163,MOD(H2,'Financial Inputs'!$P$163)),0))</f>
        <v>2</v>
      </c>
      <c r="I171" s="176">
        <f>IF(I2='Financial Inputs'!$G$24,0,IF(I2&lt;'Financial Inputs'!$G$24,IF(MOD(I2,'Financial Inputs'!$P$163)=0,'Financial Inputs'!$P$163,MOD(I2,'Financial Inputs'!$P$163)),0))</f>
        <v>3</v>
      </c>
      <c r="J171" s="176">
        <f>IF(J2='Financial Inputs'!$G$24,0,IF(J2&lt;'Financial Inputs'!$G$24,IF(MOD(J2,'Financial Inputs'!$P$163)=0,'Financial Inputs'!$P$163,MOD(J2,'Financial Inputs'!$P$163)),0))</f>
        <v>4</v>
      </c>
      <c r="K171" s="176">
        <f>IF(K2='Financial Inputs'!$G$24,0,IF(K2&lt;'Financial Inputs'!$G$24,IF(MOD(K2,'Financial Inputs'!$P$163)=0,'Financial Inputs'!$P$163,MOD(K2,'Financial Inputs'!$P$163)),0))</f>
        <v>5</v>
      </c>
      <c r="L171" s="176">
        <f>IF(L2='Financial Inputs'!$G$24,0,IF(L2&lt;'Financial Inputs'!$G$24,IF(MOD(L2,'Financial Inputs'!$P$163)=0,'Financial Inputs'!$P$163,MOD(L2,'Financial Inputs'!$P$163)),0))</f>
        <v>6</v>
      </c>
      <c r="M171" s="176">
        <f>IF(M2='Financial Inputs'!$G$24,0,IF(M2&lt;'Financial Inputs'!$G$24,IF(MOD(M2,'Financial Inputs'!$P$163)=0,'Financial Inputs'!$P$163,MOD(M2,'Financial Inputs'!$P$163)),0))</f>
        <v>7</v>
      </c>
      <c r="N171" s="176">
        <f>IF(N2='Financial Inputs'!$G$24,0,IF(N2&lt;'Financial Inputs'!$G$24,IF(MOD(N2,'Financial Inputs'!$P$163)=0,'Financial Inputs'!$P$163,MOD(N2,'Financial Inputs'!$P$163)),0))</f>
        <v>8</v>
      </c>
      <c r="O171" s="176">
        <f>IF(O2='Financial Inputs'!$G$24,0,IF(O2&lt;'Financial Inputs'!$G$24,IF(MOD(O2,'Financial Inputs'!$P$163)=0,'Financial Inputs'!$P$163,MOD(O2,'Financial Inputs'!$P$163)),0))</f>
        <v>9</v>
      </c>
      <c r="P171" s="176">
        <f>IF(P2='Financial Inputs'!$G$24,0,IF(P2&lt;'Financial Inputs'!$G$24,IF(MOD(P2,'Financial Inputs'!$P$163)=0,'Financial Inputs'!$P$163,MOD(P2,'Financial Inputs'!$P$163)),0))</f>
        <v>10</v>
      </c>
      <c r="Q171" s="176">
        <f>IF(Q2='Financial Inputs'!$G$24,0,IF(Q2&lt;'Financial Inputs'!$G$24,IF(MOD(Q2,'Financial Inputs'!$P$163)=0,'Financial Inputs'!$P$163,MOD(Q2,'Financial Inputs'!$P$163)),0))</f>
        <v>1</v>
      </c>
      <c r="R171" s="176">
        <f>IF(R2='Financial Inputs'!$G$24,0,IF(R2&lt;'Financial Inputs'!$G$24,IF(MOD(R2,'Financial Inputs'!$P$163)=0,'Financial Inputs'!$P$163,MOD(R2,'Financial Inputs'!$P$163)),0))</f>
        <v>2</v>
      </c>
      <c r="S171" s="176">
        <f>IF(S2='Financial Inputs'!$G$24,0,IF(S2&lt;'Financial Inputs'!$G$24,IF(MOD(S2,'Financial Inputs'!$P$163)=0,'Financial Inputs'!$P$163,MOD(S2,'Financial Inputs'!$P$163)),0))</f>
        <v>3</v>
      </c>
      <c r="T171" s="176">
        <f>IF(T2='Financial Inputs'!$G$24,0,IF(T2&lt;'Financial Inputs'!$G$24,IF(MOD(T2,'Financial Inputs'!$P$163)=0,'Financial Inputs'!$P$163,MOD(T2,'Financial Inputs'!$P$163)),0))</f>
        <v>4</v>
      </c>
      <c r="U171" s="176">
        <f>IF(U2='Financial Inputs'!$G$24,0,IF(U2&lt;'Financial Inputs'!$G$24,IF(MOD(U2,'Financial Inputs'!$P$163)=0,'Financial Inputs'!$P$163,MOD(U2,'Financial Inputs'!$P$163)),0))</f>
        <v>5</v>
      </c>
      <c r="V171" s="176">
        <f>IF(V2='Financial Inputs'!$G$24,0,IF(V2&lt;'Financial Inputs'!$G$24,IF(MOD(V2,'Financial Inputs'!$P$163)=0,'Financial Inputs'!$P$163,MOD(V2,'Financial Inputs'!$P$163)),0))</f>
        <v>6</v>
      </c>
      <c r="W171" s="176">
        <f>IF(W2='Financial Inputs'!$G$24,0,IF(W2&lt;'Financial Inputs'!$G$24,IF(MOD(W2,'Financial Inputs'!$P$163)=0,'Financial Inputs'!$P$163,MOD(W2,'Financial Inputs'!$P$163)),0))</f>
        <v>7</v>
      </c>
      <c r="X171" s="176">
        <f>IF(X2='Financial Inputs'!$G$24,0,IF(X2&lt;'Financial Inputs'!$G$24,IF(MOD(X2,'Financial Inputs'!$P$163)=0,'Financial Inputs'!$P$163,MOD(X2,'Financial Inputs'!$P$163)),0))</f>
        <v>8</v>
      </c>
      <c r="Y171" s="176">
        <f>IF(Y2='Financial Inputs'!$G$24,0,IF(Y2&lt;'Financial Inputs'!$G$24,IF(MOD(Y2,'Financial Inputs'!$P$163)=0,'Financial Inputs'!$P$163,MOD(Y2,'Financial Inputs'!$P$163)),0))</f>
        <v>9</v>
      </c>
      <c r="Z171" s="176">
        <f>IF(Z2='Financial Inputs'!$G$24,0,IF(Z2&lt;'Financial Inputs'!$G$24,IF(MOD(Z2,'Financial Inputs'!$P$163)=0,'Financial Inputs'!$P$163,MOD(Z2,'Financial Inputs'!$P$163)),0))</f>
        <v>0</v>
      </c>
      <c r="AA171" s="176">
        <f>IF(AA2='Financial Inputs'!$G$24,0,IF(AA2&lt;'Financial Inputs'!$G$24,IF(MOD(AA2,'Financial Inputs'!$P$163)=0,'Financial Inputs'!$P$163,MOD(AA2,'Financial Inputs'!$P$163)),0))</f>
        <v>0</v>
      </c>
      <c r="AB171" s="176">
        <f>IF(AB2='Financial Inputs'!$G$24,0,IF(AB2&lt;'Financial Inputs'!$G$24,IF(MOD(AB2,'Financial Inputs'!$P$163)=0,'Financial Inputs'!$P$163,MOD(AB2,'Financial Inputs'!$P$163)),0))</f>
        <v>0</v>
      </c>
      <c r="AC171" s="176">
        <f>IF(AC2='Financial Inputs'!$G$24,0,IF(AC2&lt;'Financial Inputs'!$G$24,IF(MOD(AC2,'Financial Inputs'!$P$163)=0,'Financial Inputs'!$P$163,MOD(AC2,'Financial Inputs'!$P$163)),0))</f>
        <v>0</v>
      </c>
      <c r="AD171" s="176">
        <f>IF(AD2='Financial Inputs'!$G$24,0,IF(AD2&lt;'Financial Inputs'!$G$24,IF(MOD(AD2,'Financial Inputs'!$P$163)=0,'Financial Inputs'!$P$163,MOD(AD2,'Financial Inputs'!$P$163)),0))</f>
        <v>0</v>
      </c>
      <c r="AE171" s="176">
        <f>IF(AE2='Financial Inputs'!$G$24,0,IF(AE2&lt;'Financial Inputs'!$G$24,IF(MOD(AE2,'Financial Inputs'!$P$163)=0,'Financial Inputs'!$P$163,MOD(AE2,'Financial Inputs'!$P$163)),0))</f>
        <v>0</v>
      </c>
      <c r="AF171" s="176">
        <f>IF(AF2='Financial Inputs'!$G$24,0,IF(AF2&lt;'Financial Inputs'!$G$24,IF(MOD(AF2,'Financial Inputs'!$P$163)=0,'Financial Inputs'!$P$163,MOD(AF2,'Financial Inputs'!$P$163)),0))</f>
        <v>0</v>
      </c>
      <c r="AG171" s="176">
        <f>IF(AG2='Financial Inputs'!$G$24,0,IF(AG2&lt;'Financial Inputs'!$G$24,IF(MOD(AG2,'Financial Inputs'!$P$163)=0,'Financial Inputs'!$P$163,MOD(AG2,'Financial Inputs'!$P$163)),0))</f>
        <v>0</v>
      </c>
      <c r="AH171" s="176">
        <f>IF(AH2='Financial Inputs'!$G$24,0,IF(AH2&lt;'Financial Inputs'!$G$24,IF(MOD(AH2,'Financial Inputs'!$P$163)=0,'Financial Inputs'!$P$163,MOD(AH2,'Financial Inputs'!$P$163)),0))</f>
        <v>0</v>
      </c>
      <c r="AI171" s="176">
        <f>IF(AI2='Financial Inputs'!$G$24,0,IF(AI2&lt;'Financial Inputs'!$G$24,IF(MOD(AI2,'Financial Inputs'!$P$163)=0,'Financial Inputs'!$P$163,MOD(AI2,'Financial Inputs'!$P$163)),0))</f>
        <v>0</v>
      </c>
      <c r="AJ171" s="176">
        <f>IF(AJ2='Financial Inputs'!$G$24,0,IF(AJ2&lt;'Financial Inputs'!$G$24,IF(MOD(AJ2,'Financial Inputs'!$P$163)=0,'Financial Inputs'!$P$163,MOD(AJ2,'Financial Inputs'!$P$163)),0))</f>
        <v>0</v>
      </c>
    </row>
    <row r="172" spans="2:36" s="1" customFormat="1" x14ac:dyDescent="0.2">
      <c r="B172" s="161" t="str">
        <f>'Financial Inputs'!N163</f>
        <v>Sludge cleanout</v>
      </c>
      <c r="C172" s="161"/>
      <c r="D172" s="161"/>
      <c r="E172" s="170">
        <f>'Financial Inputs'!$P$164*(1+'Financial Inputs'!G55)^'Financial Inputs'!P163</f>
        <v>156409.56265197846</v>
      </c>
      <c r="F172" s="175"/>
      <c r="G172" s="172">
        <f>IF(G$2='Financial Inputs'!$P$163,'Financial Inputs'!$P$164*(1+'Financial Inputs'!$G$55)^(G2-1),0)</f>
        <v>0</v>
      </c>
      <c r="H172" s="172">
        <f>IF(ROUND(I171,0)=1,'Financial Inputs'!$P$164*(1+'Financial Inputs'!$G$55)^(H2-1),0)</f>
        <v>0</v>
      </c>
      <c r="I172" s="172">
        <f>IF(ROUND(J171,0)=1,'Financial Inputs'!$P$164*(1+'Financial Inputs'!$G$55)^(I2-1),0)</f>
        <v>0</v>
      </c>
      <c r="J172" s="172">
        <f>IF(ROUND(K171,0)=1,'Financial Inputs'!$P$164*(1+'Financial Inputs'!$G$55)^(J2-1),0)</f>
        <v>0</v>
      </c>
      <c r="K172" s="172">
        <f>IF(ROUND(L171,0)=1,'Financial Inputs'!$P$164*(1+'Financial Inputs'!$G$55)^(K2-1),0)</f>
        <v>0</v>
      </c>
      <c r="L172" s="172">
        <f>IF(ROUND(M171,0)=1,'Financial Inputs'!$P$164*(1+'Financial Inputs'!$G$55)^(L2-1),0)</f>
        <v>0</v>
      </c>
      <c r="M172" s="172">
        <f>IF(ROUND(N171,0)=1,'Financial Inputs'!$P$164*(1+'Financial Inputs'!$G$55)^(M2-1),0)</f>
        <v>0</v>
      </c>
      <c r="N172" s="172">
        <f>IF(ROUND(O171,0)=1,'Financial Inputs'!$P$164*(1+'Financial Inputs'!$G$55)^(N2-1),0)</f>
        <v>0</v>
      </c>
      <c r="O172" s="172">
        <f>IF(ROUND(P171,0)=1,'Financial Inputs'!$P$164*(1+'Financial Inputs'!$G$55)^(O2-1),0)</f>
        <v>0</v>
      </c>
      <c r="P172" s="172">
        <f>IF(ROUND(Q171,0)=1,'Financial Inputs'!$P$164*(1+'Financial Inputs'!$G$55)^(P2-1),0)</f>
        <v>153342.7084823318</v>
      </c>
      <c r="Q172" s="172">
        <f>IF(ROUND(R171,0)=1,'Financial Inputs'!$P$164*(1+'Financial Inputs'!$G$55)^(Q2-1),0)</f>
        <v>0</v>
      </c>
      <c r="R172" s="172">
        <f>IF(ROUND(S171,0)=1,'Financial Inputs'!$P$164*(1+'Financial Inputs'!$G$55)^(R2-1),0)</f>
        <v>0</v>
      </c>
      <c r="S172" s="172">
        <f>IF(ROUND(T171,0)=1,'Financial Inputs'!$P$164*(1+'Financial Inputs'!$G$55)^(S2-1),0)</f>
        <v>0</v>
      </c>
      <c r="T172" s="172">
        <f>IF(ROUND(U171,0)=1,'Financial Inputs'!$P$164*(1+'Financial Inputs'!$G$55)^(T2-1),0)</f>
        <v>0</v>
      </c>
      <c r="U172" s="172">
        <f>IF(ROUND(V171,0)=1,'Financial Inputs'!$P$164*(1+'Financial Inputs'!$G$55)^(U2-1),0)</f>
        <v>0</v>
      </c>
      <c r="V172" s="172">
        <f>IF(ROUND(W171,0)=1,'Financial Inputs'!$P$164*(1+'Financial Inputs'!$G$55)^(V2-1),0)</f>
        <v>0</v>
      </c>
      <c r="W172" s="172">
        <f>IF(ROUND(X171,0)=1,'Financial Inputs'!$P$164*(1+'Financial Inputs'!$G$55)^(W2-1),0)</f>
        <v>0</v>
      </c>
      <c r="X172" s="172">
        <f>IF(ROUND(Y171,0)=1,'Financial Inputs'!$P$164*(1+'Financial Inputs'!$G$55)^(X2-1),0)</f>
        <v>0</v>
      </c>
      <c r="Y172" s="172">
        <f>IF(ROUND(Z171,0)=1,'Financial Inputs'!$P$164*(1+'Financial Inputs'!$G$55)^(Y2-1),0)</f>
        <v>0</v>
      </c>
      <c r="Z172" s="172">
        <f>IF(ROUND(AA171,0)=1,'Financial Inputs'!$P$164*(1+'Financial Inputs'!$G$55)^(Z2-1),0)</f>
        <v>0</v>
      </c>
      <c r="AA172" s="172">
        <f>IF(ROUND(AB171,0)=1,'Financial Inputs'!$P$164*(1+'Financial Inputs'!$G$55)^(AA2-1),0)</f>
        <v>0</v>
      </c>
      <c r="AB172" s="172">
        <f>IF(ROUND(AC171,0)=1,'Financial Inputs'!$P$164*(1+'Financial Inputs'!$G$55)^(AB2-1),0)</f>
        <v>0</v>
      </c>
      <c r="AC172" s="172">
        <f>IF(ROUND(AD171,0)=1,'Financial Inputs'!$P$164*(1+'Financial Inputs'!$G$55)^(AC2-1),0)</f>
        <v>0</v>
      </c>
      <c r="AD172" s="172">
        <f>IF(ROUND(AE171,0)=1,'Financial Inputs'!$P$164*(1+'Financial Inputs'!$G$55)^(AD2-1),0)</f>
        <v>0</v>
      </c>
      <c r="AE172" s="172">
        <f>IF(ROUND(AF171,0)=1,'Financial Inputs'!$P$164*(1+'Financial Inputs'!$G$55)^(AE2-1),0)</f>
        <v>0</v>
      </c>
      <c r="AF172" s="172">
        <f>IF(ROUND(AG171,0)=1,'Financial Inputs'!$P$164*(1+'Financial Inputs'!$G$55)^(AF2-1),0)</f>
        <v>0</v>
      </c>
      <c r="AG172" s="172">
        <f>IF(ROUND(AH171,0)=1,'Financial Inputs'!$P$164*(1+'Financial Inputs'!$G$55)^(AG2-1),0)</f>
        <v>0</v>
      </c>
      <c r="AH172" s="172">
        <f>IF(ROUND(AI171,0)=1,'Financial Inputs'!$P$164*(1+'Financial Inputs'!$G$55)^(AH2-1),0)</f>
        <v>0</v>
      </c>
      <c r="AI172" s="172">
        <f>IF(ROUND(AJ171,0)=1,'Financial Inputs'!$P$164*(1+'Financial Inputs'!$G$55)^(AI2-1),0)</f>
        <v>0</v>
      </c>
      <c r="AJ172" s="172">
        <f>IF(ROUND(AK171,0)=1,'Financial Inputs'!$P$164*(1+'Financial Inputs'!$G$55)^(AJ2-1),0)</f>
        <v>0</v>
      </c>
    </row>
    <row r="173" spans="2:36" s="1" customFormat="1" x14ac:dyDescent="0.2">
      <c r="B173" s="161" t="s">
        <v>115</v>
      </c>
      <c r="C173" s="161"/>
      <c r="D173" s="161"/>
      <c r="E173" s="170"/>
      <c r="F173" s="175"/>
      <c r="G173" s="176">
        <f>IF(G172&gt;0,1,IF(F173&gt;0,F173+1,0))</f>
        <v>0</v>
      </c>
      <c r="H173" s="176">
        <f t="shared" ref="H173:AJ173" si="50">IF(H172&gt;0,1,IF(G173&gt;0,G173+1,0))</f>
        <v>0</v>
      </c>
      <c r="I173" s="176">
        <f t="shared" si="50"/>
        <v>0</v>
      </c>
      <c r="J173" s="176">
        <f t="shared" si="50"/>
        <v>0</v>
      </c>
      <c r="K173" s="176">
        <f t="shared" si="50"/>
        <v>0</v>
      </c>
      <c r="L173" s="176">
        <f t="shared" si="50"/>
        <v>0</v>
      </c>
      <c r="M173" s="176">
        <f t="shared" si="50"/>
        <v>0</v>
      </c>
      <c r="N173" s="176">
        <f t="shared" si="50"/>
        <v>0</v>
      </c>
      <c r="O173" s="176">
        <f t="shared" si="50"/>
        <v>0</v>
      </c>
      <c r="P173" s="176">
        <f t="shared" si="50"/>
        <v>1</v>
      </c>
      <c r="Q173" s="176">
        <f t="shared" si="50"/>
        <v>2</v>
      </c>
      <c r="R173" s="176">
        <f t="shared" si="50"/>
        <v>3</v>
      </c>
      <c r="S173" s="176">
        <f t="shared" si="50"/>
        <v>4</v>
      </c>
      <c r="T173" s="176">
        <f t="shared" si="50"/>
        <v>5</v>
      </c>
      <c r="U173" s="176">
        <f t="shared" si="50"/>
        <v>6</v>
      </c>
      <c r="V173" s="176">
        <f t="shared" si="50"/>
        <v>7</v>
      </c>
      <c r="W173" s="176">
        <f t="shared" si="50"/>
        <v>8</v>
      </c>
      <c r="X173" s="176">
        <f t="shared" si="50"/>
        <v>9</v>
      </c>
      <c r="Y173" s="176">
        <f t="shared" si="50"/>
        <v>10</v>
      </c>
      <c r="Z173" s="176">
        <f t="shared" si="50"/>
        <v>11</v>
      </c>
      <c r="AA173" s="176">
        <f t="shared" si="50"/>
        <v>12</v>
      </c>
      <c r="AB173" s="176">
        <f t="shared" si="50"/>
        <v>13</v>
      </c>
      <c r="AC173" s="176">
        <f t="shared" si="50"/>
        <v>14</v>
      </c>
      <c r="AD173" s="176">
        <f t="shared" si="50"/>
        <v>15</v>
      </c>
      <c r="AE173" s="176">
        <f t="shared" si="50"/>
        <v>16</v>
      </c>
      <c r="AF173" s="176">
        <f t="shared" si="50"/>
        <v>17</v>
      </c>
      <c r="AG173" s="176">
        <f t="shared" si="50"/>
        <v>18</v>
      </c>
      <c r="AH173" s="176">
        <f t="shared" si="50"/>
        <v>19</v>
      </c>
      <c r="AI173" s="176">
        <f t="shared" si="50"/>
        <v>20</v>
      </c>
      <c r="AJ173" s="176">
        <f t="shared" si="50"/>
        <v>21</v>
      </c>
    </row>
    <row r="174" spans="2:36" s="1" customFormat="1" x14ac:dyDescent="0.2">
      <c r="B174" s="173" t="s">
        <v>116</v>
      </c>
      <c r="C174" s="173"/>
      <c r="D174" s="173"/>
      <c r="E174" s="174"/>
      <c r="F174" s="175"/>
      <c r="G174" s="172">
        <f ca="1">IF(G173=0,0,OFFSET(G172,0,-G173+1)*LOOKUP(G173,$G$139:$AJ$139,$G$141:$AJ$141))</f>
        <v>0</v>
      </c>
      <c r="H174" s="172">
        <f t="shared" ref="H174:AJ174" ca="1" si="51">IF(H173=0,0,OFFSET(H172,0,-H173+1)*LOOKUP(H173,$G$139:$AJ$139,$G$141:$AJ$141))</f>
        <v>0</v>
      </c>
      <c r="I174" s="172">
        <f t="shared" ca="1" si="51"/>
        <v>0</v>
      </c>
      <c r="J174" s="172">
        <f t="shared" ca="1" si="51"/>
        <v>0</v>
      </c>
      <c r="K174" s="172">
        <f t="shared" ca="1" si="51"/>
        <v>0</v>
      </c>
      <c r="L174" s="172">
        <f t="shared" ca="1" si="51"/>
        <v>0</v>
      </c>
      <c r="M174" s="172">
        <f t="shared" ca="1" si="51"/>
        <v>0</v>
      </c>
      <c r="N174" s="172">
        <f t="shared" ca="1" si="51"/>
        <v>0</v>
      </c>
      <c r="O174" s="172">
        <f t="shared" ca="1" si="51"/>
        <v>0</v>
      </c>
      <c r="P174" s="172">
        <f t="shared" ca="1" si="51"/>
        <v>30668.54169646636</v>
      </c>
      <c r="Q174" s="172">
        <f t="shared" ca="1" si="51"/>
        <v>49069.666714346175</v>
      </c>
      <c r="R174" s="172">
        <f t="shared" ca="1" si="51"/>
        <v>29441.800028607708</v>
      </c>
      <c r="S174" s="172">
        <f t="shared" ca="1" si="51"/>
        <v>17665.080017164622</v>
      </c>
      <c r="T174" s="172">
        <f t="shared" ca="1" si="51"/>
        <v>17665.080017164622</v>
      </c>
      <c r="U174" s="172">
        <f t="shared" ca="1" si="51"/>
        <v>8832.5400085823112</v>
      </c>
      <c r="V174" s="172">
        <f t="shared" ca="1" si="51"/>
        <v>0</v>
      </c>
      <c r="W174" s="172">
        <f t="shared" ca="1" si="51"/>
        <v>0</v>
      </c>
      <c r="X174" s="172">
        <f t="shared" ca="1" si="51"/>
        <v>0</v>
      </c>
      <c r="Y174" s="172">
        <f t="shared" ca="1" si="51"/>
        <v>0</v>
      </c>
      <c r="Z174" s="172">
        <f t="shared" ca="1" si="51"/>
        <v>0</v>
      </c>
      <c r="AA174" s="172">
        <f t="shared" ca="1" si="51"/>
        <v>0</v>
      </c>
      <c r="AB174" s="172">
        <f t="shared" ca="1" si="51"/>
        <v>0</v>
      </c>
      <c r="AC174" s="172">
        <f t="shared" ca="1" si="51"/>
        <v>0</v>
      </c>
      <c r="AD174" s="172">
        <f t="shared" ca="1" si="51"/>
        <v>0</v>
      </c>
      <c r="AE174" s="172">
        <f t="shared" ca="1" si="51"/>
        <v>0</v>
      </c>
      <c r="AF174" s="172">
        <f t="shared" ca="1" si="51"/>
        <v>0</v>
      </c>
      <c r="AG174" s="172">
        <f t="shared" ca="1" si="51"/>
        <v>0</v>
      </c>
      <c r="AH174" s="172">
        <f t="shared" ca="1" si="51"/>
        <v>0</v>
      </c>
      <c r="AI174" s="172">
        <f t="shared" ca="1" si="51"/>
        <v>0</v>
      </c>
      <c r="AJ174" s="172">
        <f t="shared" ca="1" si="51"/>
        <v>0</v>
      </c>
    </row>
    <row r="175" spans="2:36" s="1" customFormat="1" ht="15.75" x14ac:dyDescent="0.25">
      <c r="B175" s="161" t="str">
        <f>"Year of life of "&amp;'Financial Inputs'!N165</f>
        <v xml:space="preserve">Year of life of Engine Replacement </v>
      </c>
      <c r="C175" s="161"/>
      <c r="D175" s="161"/>
      <c r="E175" s="170"/>
      <c r="F175" s="175"/>
      <c r="G175" s="417"/>
      <c r="H175" s="417">
        <f>IF(H2='Financial Inputs'!$G$24,0,IF(H2&lt;'Financial Inputs'!$G$24,IF(MOD(H2,'Financial Inputs'!$P$165)=0,'Financial Inputs'!$P$165,MOD(H2,'Financial Inputs'!$P$165)),0))</f>
        <v>2</v>
      </c>
      <c r="I175" s="417">
        <f>IF(I2='Financial Inputs'!$G$24,0,IF(I2&lt;'Financial Inputs'!$G$24,IF(MOD(I2,'Financial Inputs'!$P$165)=0,'Financial Inputs'!$P$165,MOD(I2,'Financial Inputs'!$P$165)),0))</f>
        <v>0.5</v>
      </c>
      <c r="J175" s="417">
        <f>IF(J2='Financial Inputs'!$G$24,0,IF(J2&lt;'Financial Inputs'!$G$24,IF(MOD(J2,'Financial Inputs'!$P$165)=0,'Financial Inputs'!$P$165,MOD(J2,'Financial Inputs'!$P$165)),0))</f>
        <v>1.5</v>
      </c>
      <c r="K175" s="417">
        <f>IF(K2='Financial Inputs'!$G$24,0,IF(K2&lt;'Financial Inputs'!$G$24,IF(MOD(K2,'Financial Inputs'!$P$165)=0,'Financial Inputs'!$P$165,MOD(K2,'Financial Inputs'!$P$165)),0))</f>
        <v>2.5</v>
      </c>
      <c r="L175" s="417">
        <f>IF(L2='Financial Inputs'!$G$24,0,IF(L2&lt;'Financial Inputs'!$G$24,IF(MOD(L2,'Financial Inputs'!$P$165)=0,'Financial Inputs'!$P$165,MOD(L2,'Financial Inputs'!$P$165)),0))</f>
        <v>1</v>
      </c>
      <c r="M175" s="417">
        <f>IF(M2='Financial Inputs'!$G$24,0,IF(M2&lt;'Financial Inputs'!$G$24,IF(MOD(M2,'Financial Inputs'!$P$165)=0,'Financial Inputs'!$P$165,MOD(M2,'Financial Inputs'!$P$165)),0))</f>
        <v>2</v>
      </c>
      <c r="N175" s="417">
        <f>IF(N2='Financial Inputs'!$G$24,0,IF(N2&lt;'Financial Inputs'!$G$24,IF(MOD(N2,'Financial Inputs'!$P$165)=0,'Financial Inputs'!$P$165,MOD(N2,'Financial Inputs'!$P$165)),0))</f>
        <v>0.5</v>
      </c>
      <c r="O175" s="417">
        <f>IF(O2='Financial Inputs'!$G$24,0,IF(O2&lt;'Financial Inputs'!$G$24,IF(MOD(O2,'Financial Inputs'!$P$165)=0,'Financial Inputs'!$P$165,MOD(O2,'Financial Inputs'!$P$165)),0))</f>
        <v>1.5</v>
      </c>
      <c r="P175" s="417">
        <f>IF(P2='Financial Inputs'!$G$24,0,IF(P2&lt;'Financial Inputs'!$G$24,IF(MOD(P2,'Financial Inputs'!$P$165)=0,'Financial Inputs'!$P$165,MOD(P2,'Financial Inputs'!$P$165)),0))</f>
        <v>2.5</v>
      </c>
      <c r="Q175" s="417">
        <f>IF(Q2='Financial Inputs'!$G$24,0,IF(Q2&lt;'Financial Inputs'!$G$24,IF(MOD(Q2,'Financial Inputs'!$P$165)=0,'Financial Inputs'!$P$165,MOD(Q2,'Financial Inputs'!$P$165)),0))</f>
        <v>1</v>
      </c>
      <c r="R175" s="417">
        <f>IF(R2='Financial Inputs'!$G$24,0,IF(R2&lt;'Financial Inputs'!$G$24,IF(MOD(R2,'Financial Inputs'!$P$165)=0,'Financial Inputs'!$P$165,MOD(R2,'Financial Inputs'!$P$165)),0))</f>
        <v>2</v>
      </c>
      <c r="S175" s="417">
        <f>IF(S2='Financial Inputs'!$G$24,0,IF(S2&lt;'Financial Inputs'!$G$24,IF(MOD(S2,'Financial Inputs'!$P$165)=0,'Financial Inputs'!$P$165,MOD(S2,'Financial Inputs'!$P$165)),0))</f>
        <v>0.5</v>
      </c>
      <c r="T175" s="417">
        <f>IF(T2='Financial Inputs'!$G$24,0,IF(T2&lt;'Financial Inputs'!$G$24,IF(MOD(T2,'Financial Inputs'!$P$165)=0,'Financial Inputs'!$P$165,MOD(T2,'Financial Inputs'!$P$165)),0))</f>
        <v>1.5</v>
      </c>
      <c r="U175" s="417">
        <f>IF(U2='Financial Inputs'!$G$24,0,IF(U2&lt;'Financial Inputs'!$G$24,IF(MOD(U2,'Financial Inputs'!$P$165)=0,'Financial Inputs'!$P$165,MOD(U2,'Financial Inputs'!$P$165)),0))</f>
        <v>2.5</v>
      </c>
      <c r="V175" s="417">
        <f>IF(V2='Financial Inputs'!$G$24,0,IF(V2&lt;'Financial Inputs'!$G$24,IF(MOD(V2,'Financial Inputs'!$P$165)=0,'Financial Inputs'!$P$165,MOD(V2,'Financial Inputs'!$P$165)),0))</f>
        <v>1</v>
      </c>
      <c r="W175" s="417">
        <f>IF(W2='Financial Inputs'!$G$24,0,IF(W2&lt;'Financial Inputs'!$G$24,IF(MOD(W2,'Financial Inputs'!$P$165)=0,'Financial Inputs'!$P$165,MOD(W2,'Financial Inputs'!$P$165)),0))</f>
        <v>2</v>
      </c>
      <c r="X175" s="417">
        <f>IF(X2='Financial Inputs'!$G$24,0,IF(X2&lt;'Financial Inputs'!$G$24,IF(MOD(X2,'Financial Inputs'!$P$165)=0,'Financial Inputs'!$P$165,MOD(X2,'Financial Inputs'!$P$165)),0))</f>
        <v>0.5</v>
      </c>
      <c r="Y175" s="417">
        <f>IF(Y2='Financial Inputs'!$G$24,0,IF(Y2&lt;'Financial Inputs'!$G$24,IF(MOD(Y2,'Financial Inputs'!$P$165)=0,'Financial Inputs'!$P$165,MOD(Y2,'Financial Inputs'!$P$165)),0))</f>
        <v>1.5</v>
      </c>
      <c r="Z175" s="417">
        <f>IF(Z2='Financial Inputs'!$G$24,0,IF(Z2&lt;'Financial Inputs'!$G$24,IF(MOD(Z2,'Financial Inputs'!$P$165)=0,'Financial Inputs'!$P$165,MOD(Z2,'Financial Inputs'!$P$165)),0))</f>
        <v>0</v>
      </c>
      <c r="AA175" s="417">
        <f>IF(AA2&lt;='Financial Inputs'!$G$24,IF(MOD(AA2,'Financial Inputs'!$P$165)=0,'Financial Inputs'!$P$165,MOD(AA2,'Financial Inputs'!$P$165)),0)</f>
        <v>0</v>
      </c>
      <c r="AB175" s="417">
        <f>IF(AB2&lt;='Financial Inputs'!$G$24,IF(MOD(AB2,'Financial Inputs'!$P$165)=0,'Financial Inputs'!$P$165,MOD(AB2,'Financial Inputs'!$P$165)),0)</f>
        <v>0</v>
      </c>
      <c r="AC175" s="417">
        <f>IF(AC2&lt;='Financial Inputs'!$G$24,IF(MOD(AC2,'Financial Inputs'!$P$165)=0,'Financial Inputs'!$P$165,MOD(AC2,'Financial Inputs'!$P$165)),0)</f>
        <v>0</v>
      </c>
      <c r="AD175" s="417">
        <f>IF(AD2&lt;='Financial Inputs'!$G$24,IF(MOD(AD2,'Financial Inputs'!$P$165)=0,'Financial Inputs'!$P$165,MOD(AD2,'Financial Inputs'!$P$165)),0)</f>
        <v>0</v>
      </c>
      <c r="AE175" s="417">
        <f>IF(AE2&lt;='Financial Inputs'!$G$24,IF(MOD(AE2,'Financial Inputs'!$P$165)=0,'Financial Inputs'!$P$165,MOD(AE2,'Financial Inputs'!$P$165)),0)</f>
        <v>0</v>
      </c>
      <c r="AF175" s="417">
        <f>IF(AF2&lt;='Financial Inputs'!$G$24,IF(MOD(AF2,'Financial Inputs'!$P$165)=0,'Financial Inputs'!$P$165,MOD(AF2,'Financial Inputs'!$P$165)),0)</f>
        <v>0</v>
      </c>
      <c r="AG175" s="417">
        <f>IF(AG2&lt;='Financial Inputs'!$G$24,IF(MOD(AG2,'Financial Inputs'!$P$165)=0,'Financial Inputs'!$P$165,MOD(AG2,'Financial Inputs'!$P$165)),0)</f>
        <v>0</v>
      </c>
      <c r="AH175" s="417">
        <f>IF(AH2&lt;='Financial Inputs'!$G$24,IF(MOD(AH2,'Financial Inputs'!$P$165)=0,'Financial Inputs'!$P$165,MOD(AH2,'Financial Inputs'!$P$165)),0)</f>
        <v>0</v>
      </c>
      <c r="AI175" s="417">
        <f>IF(AI2&lt;='Financial Inputs'!$G$24,IF(MOD(AI2,'Financial Inputs'!$P$165)=0,'Financial Inputs'!$P$165,MOD(AI2,'Financial Inputs'!$P$165)),0)</f>
        <v>0</v>
      </c>
      <c r="AJ175" s="417">
        <f>IF(AJ2&lt;='Financial Inputs'!$G$24,IF(MOD(AJ2,'Financial Inputs'!$P$165)=0,'Financial Inputs'!$P$165,MOD(AJ2,'Financial Inputs'!$P$165)),0)</f>
        <v>0</v>
      </c>
    </row>
    <row r="176" spans="2:36" s="1" customFormat="1" x14ac:dyDescent="0.2">
      <c r="B176" s="161" t="str">
        <f>'Financial Inputs'!N165</f>
        <v xml:space="preserve">Engine Replacement </v>
      </c>
      <c r="C176" s="161"/>
      <c r="D176" s="161"/>
      <c r="E176" s="170">
        <f>'Financial Inputs'!$P$166*(1+'Financial Inputs'!G55)^'Financial Inputs'!P165</f>
        <v>78281.222282000235</v>
      </c>
      <c r="F176" s="175"/>
      <c r="G176" s="172">
        <f>IF(ROUND(G175,0)=1,'Financial Inputs'!$P$166*(1+'Financial Inputs'!$G$55)^(G2-1),0)</f>
        <v>0</v>
      </c>
      <c r="H176" s="172">
        <f>IF(ROUND(H175,0)=1,'Financial Inputs'!$P$166*(1+'Financial Inputs'!$G$55)^(H2-1),0)</f>
        <v>0</v>
      </c>
      <c r="I176" s="172">
        <f>IF(ROUND(I175,0)=1,'Financial Inputs'!$P$166*(1+'Financial Inputs'!$G$55)^(I2-1),0)</f>
        <v>77509.959903733426</v>
      </c>
      <c r="J176" s="172">
        <f>IF(ROUND(J175,0)=1,'Financial Inputs'!$P$166*(1+'Financial Inputs'!$G$55)^(J2-1),0)</f>
        <v>0</v>
      </c>
      <c r="K176" s="172">
        <f>IF(ROUND(K175,0)=1,'Financial Inputs'!$P$166*(1+'Financial Inputs'!$G$55)^(K2-1),0)</f>
        <v>0</v>
      </c>
      <c r="L176" s="172">
        <f>IF(ROUND(L175,0)=1,'Financial Inputs'!$P$166*(1+'Financial Inputs'!$G$55)^(L2-1),0)</f>
        <v>82254.189529521143</v>
      </c>
      <c r="M176" s="172">
        <f>IF(ROUND(M175,0)=1,'Financial Inputs'!$P$166*(1+'Financial Inputs'!$G$55)^(M2-1),0)</f>
        <v>0</v>
      </c>
      <c r="N176" s="172">
        <f>IF(ROUND(N175,0)=1,'Financial Inputs'!$P$166*(1+'Financial Inputs'!$G$55)^(N2-1),0)</f>
        <v>85577.258786513776</v>
      </c>
      <c r="O176" s="172">
        <f>IF(ROUND(O175,0)=1,'Financial Inputs'!$P$166*(1+'Financial Inputs'!$G$55)^(O2-1),0)</f>
        <v>0</v>
      </c>
      <c r="P176" s="172">
        <f>IF(ROUND(P175,0)=1,'Financial Inputs'!$P$166*(1+'Financial Inputs'!$G$55)^(P2-1),0)</f>
        <v>0</v>
      </c>
      <c r="Q176" s="172">
        <f>IF(ROUND(Q175,0)=1,'Financial Inputs'!$P$166*(1+'Financial Inputs'!$G$55)^(Q2-1),0)</f>
        <v>90815.271642318723</v>
      </c>
      <c r="R176" s="172">
        <f>IF(ROUND(R175,0)=1,'Financial Inputs'!$P$166*(1+'Financial Inputs'!$G$55)^(R2-1),0)</f>
        <v>0</v>
      </c>
      <c r="S176" s="172">
        <f>IF(ROUND(S175,0)=1,'Financial Inputs'!$P$166*(1+'Financial Inputs'!$G$55)^(S2-1),0)</f>
        <v>94484.208616668402</v>
      </c>
      <c r="T176" s="172">
        <f>IF(ROUND(T175,0)=1,'Financial Inputs'!$P$166*(1+'Financial Inputs'!$G$55)^(T2-1),0)</f>
        <v>0</v>
      </c>
      <c r="U176" s="172">
        <f>IF(ROUND(U175,0)=1,'Financial Inputs'!$P$166*(1+'Financial Inputs'!$G$55)^(U2-1),0)</f>
        <v>0</v>
      </c>
      <c r="V176" s="172">
        <f>IF(ROUND(V175,0)=1,'Financial Inputs'!$P$166*(1+'Financial Inputs'!$G$55)^(V2-1),0)</f>
        <v>100267.39805767742</v>
      </c>
      <c r="W176" s="172">
        <f>IF(ROUND(W175,0)=1,'Financial Inputs'!$P$166*(1+'Financial Inputs'!$G$55)^(W2-1),0)</f>
        <v>0</v>
      </c>
      <c r="X176" s="172">
        <f>IF(ROUND(X175,0)=1,'Financial Inputs'!$P$166*(1+'Financial Inputs'!$G$55)^(X2-1),0)</f>
        <v>104318.20093920761</v>
      </c>
      <c r="Y176" s="172">
        <f>IF(ROUND(Y175,0)=1,'Financial Inputs'!$P$166*(1+'Financial Inputs'!$G$55)^(Y2-1),0)</f>
        <v>0</v>
      </c>
      <c r="Z176" s="172">
        <f>IF(ROUND(Z175,0)=1,'Financial Inputs'!$P$166*(1+'Financial Inputs'!$G$55)^(Z2-1),0)</f>
        <v>0</v>
      </c>
      <c r="AA176" s="172">
        <f>IF(ROUND(AA175,0)=1,'Financial Inputs'!$P$166*(1+'Financial Inputs'!$G$55)^(AA2-1),0)</f>
        <v>0</v>
      </c>
      <c r="AB176" s="172">
        <f>IF(ROUND(AB175,0)=1,'Financial Inputs'!$P$166*(1+'Financial Inputs'!$G$55)^(AB2-1),0)</f>
        <v>0</v>
      </c>
      <c r="AC176" s="172">
        <f>IF(ROUND(AC175,0)=1,'Financial Inputs'!$P$166*(1+'Financial Inputs'!$G$55)^(AC2-1),0)</f>
        <v>0</v>
      </c>
      <c r="AD176" s="172">
        <f>IF(ROUND(AD175,0)=1,'Financial Inputs'!$P$166*(1+'Financial Inputs'!$G$55)^(AD2-1),0)</f>
        <v>0</v>
      </c>
      <c r="AE176" s="172">
        <f>IF(ROUND(AE175,0)=1,'Financial Inputs'!$P$166*(1+'Financial Inputs'!$G$55)^(AE2-1),0)</f>
        <v>0</v>
      </c>
      <c r="AF176" s="172">
        <f>IF(ROUND(AF175,0)=1,'Financial Inputs'!$P$166*(1+'Financial Inputs'!$G$55)^(AF2-1),0)</f>
        <v>0</v>
      </c>
      <c r="AG176" s="172">
        <f>IF(ROUND(AG175,0)=1,'Financial Inputs'!$P$166*(1+'Financial Inputs'!$G$55)^(AG2-1),0)</f>
        <v>0</v>
      </c>
      <c r="AH176" s="172">
        <f>IF(ROUND(AH175,0)=1,'Financial Inputs'!$P$166*(1+'Financial Inputs'!$G$55)^(AH2-1),0)</f>
        <v>0</v>
      </c>
      <c r="AI176" s="172">
        <f>IF(ROUND(AI175,0)=1,'Financial Inputs'!$P$166*(1+'Financial Inputs'!$G$55)^(AI2-1),0)</f>
        <v>0</v>
      </c>
      <c r="AJ176" s="172">
        <f>IF(ROUND(AJ175,0)=1,'Financial Inputs'!$P$166*(1+'Financial Inputs'!$G$55)^(AJ2-1),0)</f>
        <v>0</v>
      </c>
    </row>
    <row r="177" spans="2:36" s="1" customFormat="1" x14ac:dyDescent="0.2">
      <c r="B177" s="161" t="s">
        <v>115</v>
      </c>
      <c r="C177" s="161"/>
      <c r="D177" s="161"/>
      <c r="E177" s="170"/>
      <c r="F177" s="175"/>
      <c r="G177" s="176">
        <f t="shared" ref="G177:AJ177" si="52">IF(G176&gt;0,1,IF(F177&gt;0,F177+1,0))</f>
        <v>0</v>
      </c>
      <c r="H177" s="176">
        <f t="shared" si="52"/>
        <v>0</v>
      </c>
      <c r="I177" s="176">
        <f t="shared" si="52"/>
        <v>1</v>
      </c>
      <c r="J177" s="176">
        <f t="shared" si="52"/>
        <v>2</v>
      </c>
      <c r="K177" s="176">
        <f t="shared" si="52"/>
        <v>3</v>
      </c>
      <c r="L177" s="176">
        <f t="shared" si="52"/>
        <v>1</v>
      </c>
      <c r="M177" s="176">
        <f t="shared" si="52"/>
        <v>2</v>
      </c>
      <c r="N177" s="176">
        <f t="shared" si="52"/>
        <v>1</v>
      </c>
      <c r="O177" s="176">
        <f t="shared" si="52"/>
        <v>2</v>
      </c>
      <c r="P177" s="176">
        <f t="shared" si="52"/>
        <v>3</v>
      </c>
      <c r="Q177" s="176">
        <f t="shared" si="52"/>
        <v>1</v>
      </c>
      <c r="R177" s="176">
        <f t="shared" si="52"/>
        <v>2</v>
      </c>
      <c r="S177" s="176">
        <f t="shared" si="52"/>
        <v>1</v>
      </c>
      <c r="T177" s="176">
        <f t="shared" si="52"/>
        <v>2</v>
      </c>
      <c r="U177" s="176">
        <f t="shared" si="52"/>
        <v>3</v>
      </c>
      <c r="V177" s="176">
        <f t="shared" si="52"/>
        <v>1</v>
      </c>
      <c r="W177" s="176">
        <f t="shared" si="52"/>
        <v>2</v>
      </c>
      <c r="X177" s="176">
        <f t="shared" si="52"/>
        <v>1</v>
      </c>
      <c r="Y177" s="176">
        <f t="shared" si="52"/>
        <v>2</v>
      </c>
      <c r="Z177" s="176">
        <f t="shared" si="52"/>
        <v>3</v>
      </c>
      <c r="AA177" s="176">
        <f t="shared" si="52"/>
        <v>4</v>
      </c>
      <c r="AB177" s="176">
        <f t="shared" si="52"/>
        <v>5</v>
      </c>
      <c r="AC177" s="176">
        <f t="shared" si="52"/>
        <v>6</v>
      </c>
      <c r="AD177" s="176">
        <f t="shared" si="52"/>
        <v>7</v>
      </c>
      <c r="AE177" s="176">
        <f t="shared" si="52"/>
        <v>8</v>
      </c>
      <c r="AF177" s="176">
        <f t="shared" si="52"/>
        <v>9</v>
      </c>
      <c r="AG177" s="176">
        <f t="shared" si="52"/>
        <v>10</v>
      </c>
      <c r="AH177" s="176">
        <f t="shared" si="52"/>
        <v>11</v>
      </c>
      <c r="AI177" s="176">
        <f t="shared" si="52"/>
        <v>12</v>
      </c>
      <c r="AJ177" s="176">
        <f t="shared" si="52"/>
        <v>13</v>
      </c>
    </row>
    <row r="178" spans="2:36" s="1" customFormat="1" x14ac:dyDescent="0.2">
      <c r="B178" s="173" t="s">
        <v>116</v>
      </c>
      <c r="C178" s="173"/>
      <c r="D178" s="173"/>
      <c r="E178" s="174"/>
      <c r="F178" s="175"/>
      <c r="G178" s="172">
        <f ca="1">IF(G2&lt;='Financial Inputs'!$G$24,IF(G177=0,0,OFFSET(G176,0,-G177+1)*LOOKUP(G177,$G$139:$AJ$139,$G$141:$AJ$141)),0)</f>
        <v>0</v>
      </c>
      <c r="H178" s="172">
        <f ca="1">IF(H2&lt;='Financial Inputs'!$G$24,IF(H177=0,0,OFFSET(H176,0,-H177+1)*LOOKUP(H177,$G$139:$AJ$139,$G$141:$AJ$141)),0)</f>
        <v>0</v>
      </c>
      <c r="I178" s="172">
        <f ca="1">IF(I2&lt;='Financial Inputs'!$G$24,IF(I177=0,0,OFFSET(I176,0,-I177+1)*LOOKUP(I177,$G$139:$AJ$139,$G$141:$AJ$141)),0)</f>
        <v>15501.991980746687</v>
      </c>
      <c r="J178" s="172">
        <f ca="1">IF(J2&lt;='Financial Inputs'!$G$24,IF(J177=0,0,OFFSET(J176,0,-J177+1)*LOOKUP(J177,$G$139:$AJ$139,$G$141:$AJ$141)),0)</f>
        <v>24803.187169194698</v>
      </c>
      <c r="K178" s="172">
        <f ca="1">IF(K2&lt;='Financial Inputs'!$G$24,IF(K177=0,0,OFFSET(K176,0,-K177+1)*LOOKUP(K177,$G$139:$AJ$139,$G$141:$AJ$141)),0)</f>
        <v>14881.912301516819</v>
      </c>
      <c r="L178" s="172">
        <f ca="1">IF(L2&lt;='Financial Inputs'!$G$24,IF(L177=0,0,OFFSET(L176,0,-L177+1)*LOOKUP(L177,$G$139:$AJ$139,$G$141:$AJ$141)),0)</f>
        <v>16450.837905904231</v>
      </c>
      <c r="M178" s="172">
        <f ca="1">IF(M2&lt;='Financial Inputs'!$G$24,IF(M177=0,0,OFFSET(M176,0,-M177+1)*LOOKUP(M177,$G$139:$AJ$139,$G$141:$AJ$141)),0)</f>
        <v>26321.340649446767</v>
      </c>
      <c r="N178" s="172">
        <f ca="1">IF(N2&lt;='Financial Inputs'!$G$24,IF(N177=0,0,OFFSET(N176,0,-N177+1)*LOOKUP(N177,$G$139:$AJ$139,$G$141:$AJ$141)),0)</f>
        <v>17115.451757302755</v>
      </c>
      <c r="O178" s="172">
        <f ca="1">IF(O2&lt;='Financial Inputs'!$G$24,IF(O177=0,0,OFFSET(O176,0,-O177+1)*LOOKUP(O177,$G$139:$AJ$139,$G$141:$AJ$141)),0)</f>
        <v>27384.722811684409</v>
      </c>
      <c r="P178" s="172">
        <f ca="1">IF(P2&lt;='Financial Inputs'!$G$24,IF(P177=0,0,OFFSET(P176,0,-P177+1)*LOOKUP(P177,$G$139:$AJ$139,$G$141:$AJ$141)),0)</f>
        <v>16430.833687010647</v>
      </c>
      <c r="Q178" s="172">
        <f ca="1">IF(Q2&lt;='Financial Inputs'!$G$24,IF(Q177=0,0,OFFSET(Q176,0,-Q177+1)*LOOKUP(Q177,$G$139:$AJ$139,$G$141:$AJ$141)),0)</f>
        <v>18163.054328463746</v>
      </c>
      <c r="R178" s="172">
        <f ca="1">IF(R2&lt;='Financial Inputs'!$G$24,IF(R177=0,0,OFFSET(R176,0,-R177+1)*LOOKUP(R177,$G$139:$AJ$139,$G$141:$AJ$141)),0)</f>
        <v>29060.886925541992</v>
      </c>
      <c r="S178" s="172">
        <f ca="1">IF(S2&lt;='Financial Inputs'!$G$24,IF(S177=0,0,OFFSET(S176,0,-S177+1)*LOOKUP(S177,$G$139:$AJ$139,$G$141:$AJ$141)),0)</f>
        <v>18896.84172333368</v>
      </c>
      <c r="T178" s="172">
        <f ca="1">IF(T2&lt;='Financial Inputs'!$G$24,IF(T177=0,0,OFFSET(T176,0,-T177+1)*LOOKUP(T177,$G$139:$AJ$139,$G$141:$AJ$141)),0)</f>
        <v>30234.946757333888</v>
      </c>
      <c r="U178" s="172">
        <f ca="1">IF(U2&lt;='Financial Inputs'!$G$24,IF(U177=0,0,OFFSET(U176,0,-U177+1)*LOOKUP(U177,$G$139:$AJ$139,$G$141:$AJ$141)),0)</f>
        <v>18140.968054400335</v>
      </c>
      <c r="V178" s="172">
        <f ca="1">IF(V2&lt;='Financial Inputs'!$G$24,IF(V177=0,0,OFFSET(V176,0,-V177+1)*LOOKUP(V177,$G$139:$AJ$139,$G$141:$AJ$141)),0)</f>
        <v>20053.479611535484</v>
      </c>
      <c r="W178" s="172">
        <f ca="1">IF(W2&lt;='Financial Inputs'!$G$24,IF(W177=0,0,OFFSET(W176,0,-W177+1)*LOOKUP(W177,$G$139:$AJ$139,$G$141:$AJ$141)),0)</f>
        <v>32085.567378456773</v>
      </c>
      <c r="X178" s="172">
        <f ca="1">IF(X2&lt;='Financial Inputs'!$G$24,IF(X177=0,0,OFFSET(X176,0,-X177+1)*LOOKUP(X177,$G$139:$AJ$139,$G$141:$AJ$141)),0)</f>
        <v>20863.640187841524</v>
      </c>
      <c r="Y178" s="172">
        <f ca="1">IF(Y2&lt;='Financial Inputs'!$G$24,IF(Y177=0,0,OFFSET(Y176,0,-Y177+1)*LOOKUP(Y177,$G$139:$AJ$139,$G$141:$AJ$141)),0)</f>
        <v>33381.824300546439</v>
      </c>
      <c r="Z178" s="172">
        <f ca="1">IF(Z2&lt;='Financial Inputs'!$G$24,IF(Z177=0,0,OFFSET(Z176,0,-Z177+1)*LOOKUP(Z177,$G$139:$AJ$139,$G$141:$AJ$141)),0)</f>
        <v>20029.094580327863</v>
      </c>
      <c r="AA178" s="172">
        <f ca="1">IF(AA2&lt;='Financial Inputs'!$G$24,IF(AA177=0,0,OFFSET(AA176,0,-AA177+1)*LOOKUP(AA177,$G$139:$AJ$139,$G$141:$AJ$141)),0)</f>
        <v>0</v>
      </c>
      <c r="AB178" s="172">
        <f ca="1">IF(AB2&lt;='Financial Inputs'!$G$24,IF(AB177=0,0,OFFSET(AB176,0,-AB177+1)*LOOKUP(AB177,$G$139:$AJ$139,$G$141:$AJ$141)),0)</f>
        <v>0</v>
      </c>
      <c r="AC178" s="172">
        <f ca="1">IF(AC2&lt;='Financial Inputs'!$G$24,IF(AC177=0,0,OFFSET(AC176,0,-AC177+1)*LOOKUP(AC177,$G$139:$AJ$139,$G$141:$AJ$141)),0)</f>
        <v>0</v>
      </c>
      <c r="AD178" s="172">
        <f ca="1">IF(AD2&lt;='Financial Inputs'!$G$24,IF(AD177=0,0,OFFSET(AD176,0,-AD177+1)*LOOKUP(AD177,$G$139:$AJ$139,$G$141:$AJ$141)),0)</f>
        <v>0</v>
      </c>
      <c r="AE178" s="172">
        <f ca="1">IF(AE2&lt;='Financial Inputs'!$G$24,IF(AE177=0,0,OFFSET(AE176,0,-AE177+1)*LOOKUP(AE177,$G$139:$AJ$139,$G$141:$AJ$141)),0)</f>
        <v>0</v>
      </c>
      <c r="AF178" s="172">
        <f ca="1">IF(AF2&lt;='Financial Inputs'!$G$24,IF(AF177=0,0,OFFSET(AF176,0,-AF177+1)*LOOKUP(AF177,$G$139:$AJ$139,$G$141:$AJ$141)),0)</f>
        <v>0</v>
      </c>
      <c r="AG178" s="172">
        <f ca="1">IF(AG2&lt;='Financial Inputs'!$G$24,IF(AG177=0,0,OFFSET(AG176,0,-AG177+1)*LOOKUP(AG177,$G$139:$AJ$139,$G$141:$AJ$141)),0)</f>
        <v>0</v>
      </c>
      <c r="AH178" s="172">
        <f ca="1">IF(AH2&lt;='Financial Inputs'!$G$24,IF(AH177=0,0,OFFSET(AH176,0,-AH177+1)*LOOKUP(AH177,$G$139:$AJ$139,$G$141:$AJ$141)),0)</f>
        <v>0</v>
      </c>
      <c r="AI178" s="172">
        <f ca="1">IF(AI2&lt;='Financial Inputs'!$G$24,IF(AI177=0,0,OFFSET(AI176,0,-AI177+1)*LOOKUP(AI177,$G$139:$AJ$139,$G$141:$AJ$141)),0)</f>
        <v>0</v>
      </c>
      <c r="AJ178" s="172">
        <f ca="1">IF(AJ2&lt;='Financial Inputs'!$G$24,IF(AJ177=0,0,OFFSET(AJ176,0,-AJ177+1)*LOOKUP(AJ177,$G$139:$AJ$139,$G$141:$AJ$141)),0)</f>
        <v>0</v>
      </c>
    </row>
    <row r="179" spans="2:36" s="1" customFormat="1" x14ac:dyDescent="0.2">
      <c r="B179" s="161" t="s">
        <v>415</v>
      </c>
      <c r="C179" s="161"/>
      <c r="D179" s="161"/>
      <c r="E179" s="170"/>
      <c r="F179" s="175"/>
      <c r="G179" s="172">
        <f>IF('Financial Inputs'!$G$24='Detailed Cash Flow'!G2,'Financial Inputs'!$P$167,0)</f>
        <v>0</v>
      </c>
      <c r="H179" s="172">
        <f>IF('Financial Inputs'!$G$24='Detailed Cash Flow'!H2,'Financial Inputs'!$P$167,0)</f>
        <v>0</v>
      </c>
      <c r="I179" s="172">
        <f>IF('Financial Inputs'!$G$24='Detailed Cash Flow'!I2,'Financial Inputs'!$P$167,0)</f>
        <v>0</v>
      </c>
      <c r="J179" s="172">
        <f>IF('Financial Inputs'!$G$24='Detailed Cash Flow'!J2,'Financial Inputs'!$P$167,0)</f>
        <v>0</v>
      </c>
      <c r="K179" s="172">
        <f>IF('Financial Inputs'!$G$24='Detailed Cash Flow'!K2,'Financial Inputs'!$P$167,0)</f>
        <v>0</v>
      </c>
      <c r="L179" s="172">
        <f>IF('Financial Inputs'!$G$24='Detailed Cash Flow'!L2,'Financial Inputs'!$P$167,0)</f>
        <v>0</v>
      </c>
      <c r="M179" s="172">
        <f>IF('Financial Inputs'!$G$24='Detailed Cash Flow'!M2,'Financial Inputs'!$P$167,0)</f>
        <v>0</v>
      </c>
      <c r="N179" s="172">
        <f>IF('Financial Inputs'!$G$24='Detailed Cash Flow'!N2,'Financial Inputs'!$P$167,0)</f>
        <v>0</v>
      </c>
      <c r="O179" s="172">
        <f>IF('Financial Inputs'!$G$24='Detailed Cash Flow'!O2,'Financial Inputs'!$P$167,0)</f>
        <v>0</v>
      </c>
      <c r="P179" s="172">
        <f>IF('Financial Inputs'!$G$24='Detailed Cash Flow'!P2,'Financial Inputs'!$P$167,0)</f>
        <v>0</v>
      </c>
      <c r="Q179" s="172">
        <f>IF('Financial Inputs'!$G$24='Detailed Cash Flow'!Q2,'Financial Inputs'!$P$167,0)</f>
        <v>0</v>
      </c>
      <c r="R179" s="172">
        <f>IF('Financial Inputs'!$G$24='Detailed Cash Flow'!R2,'Financial Inputs'!$P$167,0)</f>
        <v>0</v>
      </c>
      <c r="S179" s="172">
        <f>IF('Financial Inputs'!$G$24='Detailed Cash Flow'!S2,'Financial Inputs'!$P$167,0)</f>
        <v>0</v>
      </c>
      <c r="T179" s="172">
        <f>IF('Financial Inputs'!$G$24='Detailed Cash Flow'!T2,'Financial Inputs'!$P$167,0)</f>
        <v>0</v>
      </c>
      <c r="U179" s="172">
        <f>IF('Financial Inputs'!$G$24='Detailed Cash Flow'!U2,'Financial Inputs'!$P$167,0)</f>
        <v>0</v>
      </c>
      <c r="V179" s="172">
        <f>IF('Financial Inputs'!$G$24='Detailed Cash Flow'!V2,'Financial Inputs'!$P$167,0)</f>
        <v>0</v>
      </c>
      <c r="W179" s="172">
        <f>IF('Financial Inputs'!$G$24='Detailed Cash Flow'!W2,'Financial Inputs'!$P$167,0)</f>
        <v>0</v>
      </c>
      <c r="X179" s="172">
        <f>IF('Financial Inputs'!$G$24='Detailed Cash Flow'!X2,'Financial Inputs'!$P$167,0)</f>
        <v>0</v>
      </c>
      <c r="Y179" s="172">
        <f>IF('Financial Inputs'!$G$24='Detailed Cash Flow'!Y2,'Financial Inputs'!$P$167,0)</f>
        <v>0</v>
      </c>
      <c r="Z179" s="172">
        <f>IF('Financial Inputs'!$G$24='Detailed Cash Flow'!Z2,'Financial Inputs'!$P$167,0)</f>
        <v>550667.15019854461</v>
      </c>
      <c r="AA179" s="172">
        <f>IF('Financial Inputs'!$G$24='Detailed Cash Flow'!AA2,'Financial Inputs'!$P$167,0)</f>
        <v>0</v>
      </c>
      <c r="AB179" s="172">
        <f>IF('Financial Inputs'!$G$24='Detailed Cash Flow'!AB2,'Financial Inputs'!$P$167,0)</f>
        <v>0</v>
      </c>
      <c r="AC179" s="172">
        <f>IF('Financial Inputs'!$G$24='Detailed Cash Flow'!AC2,'Financial Inputs'!$P$167,0)</f>
        <v>0</v>
      </c>
      <c r="AD179" s="172">
        <f>IF('Financial Inputs'!$G$24='Detailed Cash Flow'!AD2,'Financial Inputs'!$P$167,0)</f>
        <v>0</v>
      </c>
      <c r="AE179" s="172">
        <f>IF('Financial Inputs'!$G$24='Detailed Cash Flow'!AE2,'Financial Inputs'!$P$167,0)</f>
        <v>0</v>
      </c>
      <c r="AF179" s="172">
        <f>IF('Financial Inputs'!$G$24='Detailed Cash Flow'!AF2,'Financial Inputs'!$P$167,0)</f>
        <v>0</v>
      </c>
      <c r="AG179" s="172">
        <f>IF('Financial Inputs'!$G$24='Detailed Cash Flow'!AG2,'Financial Inputs'!$P$167,0)</f>
        <v>0</v>
      </c>
      <c r="AH179" s="172">
        <f>IF('Financial Inputs'!$G$24='Detailed Cash Flow'!AH2,'Financial Inputs'!$P$167,0)</f>
        <v>0</v>
      </c>
      <c r="AI179" s="172">
        <f>IF('Financial Inputs'!$G$24='Detailed Cash Flow'!AI2,'Financial Inputs'!$P$167,0)</f>
        <v>0</v>
      </c>
      <c r="AJ179" s="172">
        <f>IF('Financial Inputs'!$G$24='Detailed Cash Flow'!AJ2,'Financial Inputs'!$P$167,0)</f>
        <v>0</v>
      </c>
    </row>
    <row r="180" spans="2:36" s="1" customFormat="1" x14ac:dyDescent="0.2">
      <c r="B180" s="161" t="s">
        <v>160</v>
      </c>
      <c r="C180" s="161"/>
      <c r="D180" s="161"/>
      <c r="E180" s="170"/>
      <c r="F180" s="201"/>
      <c r="G180" s="177">
        <f ca="1">IF(AND('Financial Inputs'!$P$62="Yes",G$2&lt;='Financial Inputs'!$G$24),SUM('Detailed Cash Flow'!G158:G166)+G174+G178+G179,0)</f>
        <v>538794.76455034665</v>
      </c>
      <c r="H180" s="177">
        <f ca="1">IF(AND('Financial Inputs'!$P$62="Yes",H$2&lt;='Financial Inputs'!$G$24),SUM('Detailed Cash Flow'!H158:H166)+H174+H178+H179,0)</f>
        <v>901885.33346440294</v>
      </c>
      <c r="I180" s="177">
        <f ca="1">IF(AND('Financial Inputs'!$P$62="Yes",I$2&lt;='Financial Inputs'!$G$24),SUM('Detailed Cash Flow'!I158:I166)+I174+I178+I179,0)</f>
        <v>626241.67945996451</v>
      </c>
      <c r="J180" s="177">
        <f ca="1">IF(AND('Financial Inputs'!$P$62="Yes",J$2&lt;='Financial Inputs'!$G$24),SUM('Detailed Cash Flow'!J158:J166)+J174+J178+J179,0)</f>
        <v>443240.52829880954</v>
      </c>
      <c r="K180" s="177">
        <f ca="1">IF(AND('Financial Inputs'!$P$62="Yes",K$2&lt;='Financial Inputs'!$G$24),SUM('Detailed Cash Flow'!K158:K166)+K174+K178+K179,0)</f>
        <v>355869.30163598631</v>
      </c>
      <c r="L180" s="177">
        <f ca="1">IF(AND('Financial Inputs'!$P$62="Yes",L$2&lt;='Financial Inputs'!$G$24),SUM('Detailed Cash Flow'!L158:L166)+L174+L178+L179,0)</f>
        <v>292964.59623145848</v>
      </c>
      <c r="M180" s="177">
        <f ca="1">IF(AND('Financial Inputs'!$P$62="Yes",M$2&lt;='Financial Inputs'!$G$24),SUM('Detailed Cash Flow'!M158:M166)+M174+M178+M179,0)</f>
        <v>238881.31064381058</v>
      </c>
      <c r="N180" s="177">
        <f ca="1">IF(AND('Financial Inputs'!$P$62="Yes",N$2&lt;='Financial Inputs'!$G$24),SUM('Detailed Cash Flow'!N158:N166)+N174+N178+N179,0)</f>
        <v>133074.26338734501</v>
      </c>
      <c r="O180" s="177">
        <f ca="1">IF(AND('Financial Inputs'!$P$62="Yes",O$2&lt;='Financial Inputs'!$G$24),SUM('Detailed Cash Flow'!O158:O166)+O174+O178+O179,0)</f>
        <v>47869.201655679062</v>
      </c>
      <c r="P180" s="177">
        <f ca="1">IF(AND('Financial Inputs'!$P$62="Yes",P$2&lt;='Financial Inputs'!$G$24),SUM('Detailed Cash Flow'!P158:P166)+P174+P178+P179,0)</f>
        <v>67580.870047645803</v>
      </c>
      <c r="Q180" s="177">
        <f ca="1">IF(AND('Financial Inputs'!$P$62="Yes",Q$2&lt;='Financial Inputs'!$G$24),SUM('Detailed Cash Flow'!Q158:Q166)+Q174+Q178+Q179,0)</f>
        <v>87717.199886804563</v>
      </c>
      <c r="R180" s="177">
        <f ca="1">IF(AND('Financial Inputs'!$P$62="Yes",R$2&lt;='Financial Inputs'!$G$24),SUM('Detailed Cash Flow'!R158:R166)+R174+R178+R179,0)</f>
        <v>78984.1816183185</v>
      </c>
      <c r="S180" s="177">
        <f ca="1">IF(AND('Financial Inputs'!$P$62="Yes",S$2&lt;='Financial Inputs'!$G$24),SUM('Detailed Cash Flow'!S158:S166)+S174+S178+S179,0)</f>
        <v>57046.400584492963</v>
      </c>
      <c r="T180" s="177">
        <f ca="1">IF(AND('Financial Inputs'!$P$62="Yes",T$2&lt;='Financial Inputs'!$G$24),SUM('Detailed Cash Flow'!T158:T166)+T174+T178+T179,0)</f>
        <v>68381.521438667318</v>
      </c>
      <c r="U180" s="177">
        <f ca="1">IF(AND('Financial Inputs'!$P$62="Yes",U$2&lt;='Financial Inputs'!$G$24),SUM('Detailed Cash Flow'!U158:U166)+U174+U178+U179,0)</f>
        <v>47457.986906977305</v>
      </c>
      <c r="V180" s="177">
        <f ca="1">IF(AND('Financial Inputs'!$P$62="Yes",V$2&lt;='Financial Inputs'!$G$24),SUM('Detailed Cash Flow'!V158:V166)+V174+V178+V179,0)</f>
        <v>40534.974275704284</v>
      </c>
      <c r="W180" s="177">
        <f ca="1">IF(AND('Financial Inputs'!$P$62="Yes",W$2&lt;='Financial Inputs'!$G$24),SUM('Detailed Cash Flow'!W158:W166)+W174+W178+W179,0)</f>
        <v>52570.046222451434</v>
      </c>
      <c r="X180" s="177">
        <f ca="1">IF(AND('Financial Inputs'!$P$62="Yes",X$2&lt;='Financial Inputs'!$G$24),SUM('Detailed Cash Flow'!X158:X166)+X174+X178+X179,0)</f>
        <v>41345.13485201032</v>
      </c>
      <c r="Y180" s="177">
        <f ca="1">IF(AND('Financial Inputs'!$P$62="Yes",Y$2&lt;='Financial Inputs'!$G$24),SUM('Detailed Cash Flow'!Y158:Y166)+Y174+Y178+Y179,0)</f>
        <v>53866.303144541096</v>
      </c>
      <c r="Z180" s="177">
        <f ca="1">IF(AND('Financial Inputs'!$P$62="Yes",Z$2&lt;='Financial Inputs'!$G$24),SUM('Detailed Cash Flow'!Z158:Z166)+Z174+Z178+Z179,0)</f>
        <v>591177.73944304127</v>
      </c>
      <c r="AA180" s="177">
        <f>IF(AND('Financial Inputs'!$P$62="Yes",AA$2&lt;='Financial Inputs'!$G$24),SUM('Detailed Cash Flow'!AA158:AA166)+AA174+AA178+AA179,0)</f>
        <v>0</v>
      </c>
      <c r="AB180" s="177">
        <f>IF(AND('Financial Inputs'!$P$62="Yes",AB$2&lt;='Financial Inputs'!$G$24),SUM('Detailed Cash Flow'!AB158:AB166)+AB174+AB178+AB179,0)</f>
        <v>0</v>
      </c>
      <c r="AC180" s="177">
        <f>IF(AND('Financial Inputs'!$P$62="Yes",AC$2&lt;='Financial Inputs'!$G$24),SUM('Detailed Cash Flow'!AC158:AC166)+AC174+AC178+AC179,0)</f>
        <v>0</v>
      </c>
      <c r="AD180" s="177">
        <f>IF(AND('Financial Inputs'!$P$62="Yes",AD$2&lt;='Financial Inputs'!$G$24),SUM('Detailed Cash Flow'!AD158:AD166)+AD174+AD178+AD179,0)</f>
        <v>0</v>
      </c>
      <c r="AE180" s="177">
        <f>IF(AND('Financial Inputs'!$P$62="Yes",AE$2&lt;='Financial Inputs'!$G$24),SUM('Detailed Cash Flow'!AE158:AE166)+AE174+AE178+AE179,0)</f>
        <v>0</v>
      </c>
      <c r="AF180" s="177">
        <f>IF(AND('Financial Inputs'!$P$62="Yes",AF$2&lt;='Financial Inputs'!$G$24),SUM('Detailed Cash Flow'!AF158:AF166)+AF174+AF178+AF179,0)</f>
        <v>0</v>
      </c>
      <c r="AG180" s="177">
        <f>IF(AND('Financial Inputs'!$P$62="Yes",AG$2&lt;='Financial Inputs'!$G$24),SUM('Detailed Cash Flow'!AG158:AG166)+AG174+AG178+AG179,0)</f>
        <v>0</v>
      </c>
      <c r="AH180" s="177">
        <f>IF(AND('Financial Inputs'!$P$62="Yes",AH$2&lt;='Financial Inputs'!$G$24),SUM('Detailed Cash Flow'!AH158:AH166)+AH174+AH178+AH179,0)</f>
        <v>0</v>
      </c>
      <c r="AI180" s="177">
        <f>IF(AND('Financial Inputs'!$P$62="Yes",AI$2&lt;='Financial Inputs'!$G$24),SUM('Detailed Cash Flow'!AI158:AI166)+AI174+AI178+AI179,0)</f>
        <v>0</v>
      </c>
      <c r="AJ180" s="177">
        <f>IF(AND('Financial Inputs'!$P$62="Yes",AJ$2&lt;='Financial Inputs'!$G$24),SUM('Detailed Cash Flow'!AJ158:AJ166)+AJ174+AJ178+AJ179,0)</f>
        <v>0</v>
      </c>
    </row>
    <row r="181" spans="2:36" s="1" customFormat="1" x14ac:dyDescent="0.2">
      <c r="B181" s="161"/>
      <c r="C181" s="161"/>
      <c r="D181" s="161"/>
      <c r="E181" s="170"/>
      <c r="F181" s="201"/>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2:36" s="1" customFormat="1" x14ac:dyDescent="0.2">
      <c r="B182" s="161" t="s">
        <v>135</v>
      </c>
      <c r="C182" s="161"/>
      <c r="D182" s="161"/>
      <c r="E182" s="170"/>
      <c r="F182" s="201"/>
      <c r="G182" s="178">
        <f ca="1">G180*'Financial Inputs'!$P$67</f>
        <v>213093.32937966209</v>
      </c>
      <c r="H182" s="178">
        <f ca="1">H180*'Financial Inputs'!$P$67</f>
        <v>356695.6493851713</v>
      </c>
      <c r="I182" s="178">
        <f ca="1">I180*'Financial Inputs'!$P$67</f>
        <v>247678.58422641593</v>
      </c>
      <c r="J182" s="178">
        <f ca="1">J180*'Financial Inputs'!$P$67</f>
        <v>175301.62894217914</v>
      </c>
      <c r="K182" s="178">
        <f ca="1">K180*'Financial Inputs'!$P$67</f>
        <v>140746.30879703257</v>
      </c>
      <c r="L182" s="178">
        <f ca="1">L180*'Financial Inputs'!$P$67</f>
        <v>115867.49780954182</v>
      </c>
      <c r="M182" s="178">
        <f ca="1">M180*'Financial Inputs'!$P$67</f>
        <v>94477.558359627074</v>
      </c>
      <c r="N182" s="178">
        <f ca="1">N180*'Financial Inputs'!$P$67</f>
        <v>52630.871169694947</v>
      </c>
      <c r="O182" s="178">
        <f ca="1">O180*'Financial Inputs'!$P$67</f>
        <v>18932.269254821069</v>
      </c>
      <c r="P182" s="178">
        <f ca="1">P180*'Financial Inputs'!$P$67</f>
        <v>26728.234103843912</v>
      </c>
      <c r="Q182" s="178">
        <f ca="1">Q180*'Financial Inputs'!$P$67</f>
        <v>34692.152555231201</v>
      </c>
      <c r="R182" s="178">
        <f ca="1">R180*'Financial Inputs'!$P$67</f>
        <v>31238.243830044965</v>
      </c>
      <c r="S182" s="178">
        <f ca="1">S180*'Financial Inputs'!$P$67</f>
        <v>22561.851431166964</v>
      </c>
      <c r="T182" s="178">
        <f ca="1">T180*'Financial Inputs'!$P$67</f>
        <v>27044.891728992923</v>
      </c>
      <c r="U182" s="178">
        <f ca="1">U180*'Financial Inputs'!$P$67</f>
        <v>18769.633821709522</v>
      </c>
      <c r="V182" s="178">
        <f ca="1">V180*'Financial Inputs'!$P$67</f>
        <v>16031.582326041043</v>
      </c>
      <c r="W182" s="178">
        <f ca="1">W180*'Financial Inputs'!$P$67</f>
        <v>20791.453280979542</v>
      </c>
      <c r="X182" s="178">
        <f ca="1">X180*'Financial Inputs'!$P$67</f>
        <v>16352.00083397008</v>
      </c>
      <c r="Y182" s="178">
        <f ca="1">Y180*'Financial Inputs'!$P$67</f>
        <v>21304.122893666001</v>
      </c>
      <c r="Z182" s="178">
        <f ca="1">Z180*'Financial Inputs'!$P$67</f>
        <v>233810.79594972279</v>
      </c>
      <c r="AA182" s="178">
        <f>AA180*'Financial Inputs'!$P$67</f>
        <v>0</v>
      </c>
      <c r="AB182" s="178">
        <f>AB180*'Financial Inputs'!$P$67</f>
        <v>0</v>
      </c>
      <c r="AC182" s="178">
        <f>AC180*'Financial Inputs'!$P$67</f>
        <v>0</v>
      </c>
      <c r="AD182" s="178">
        <f>AD180*'Financial Inputs'!$P$67</f>
        <v>0</v>
      </c>
      <c r="AE182" s="178">
        <f>AE180*'Financial Inputs'!$P$67</f>
        <v>0</v>
      </c>
      <c r="AF182" s="178">
        <f>AF180*'Financial Inputs'!$P$67</f>
        <v>0</v>
      </c>
      <c r="AG182" s="178">
        <f>AG180*'Financial Inputs'!$P$67</f>
        <v>0</v>
      </c>
      <c r="AH182" s="178">
        <f>AH180*'Financial Inputs'!$P$67</f>
        <v>0</v>
      </c>
      <c r="AI182" s="178">
        <f>AI180*'Financial Inputs'!$P$67</f>
        <v>0</v>
      </c>
      <c r="AJ182" s="178">
        <f>AJ180*'Financial Inputs'!$P$67</f>
        <v>0</v>
      </c>
    </row>
    <row r="183" spans="2:36" s="1" customFormat="1" ht="16.5" thickBot="1" x14ac:dyDescent="0.3">
      <c r="B183" s="179"/>
      <c r="C183" s="179"/>
      <c r="D183" s="179"/>
      <c r="E183" s="180"/>
      <c r="F183" s="180"/>
      <c r="G183" s="181"/>
      <c r="H183" s="182"/>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2:36" x14ac:dyDescent="0.25">
      <c r="B184" s="199"/>
      <c r="C184" s="199"/>
      <c r="D184" s="199"/>
      <c r="E184" s="199"/>
      <c r="F184" s="199"/>
      <c r="G184" s="199"/>
      <c r="H184" s="199"/>
      <c r="I184" s="199"/>
      <c r="J184" s="199"/>
      <c r="K184" s="199"/>
      <c r="L184" s="199"/>
      <c r="M184" s="199"/>
      <c r="N184" s="199"/>
      <c r="O184" s="199"/>
      <c r="P184" s="199"/>
      <c r="Q184" s="199"/>
      <c r="R184" s="199"/>
      <c r="S184" s="199"/>
      <c r="T184" s="199"/>
      <c r="U184" s="199"/>
      <c r="V184" s="199"/>
      <c r="W184" s="199"/>
      <c r="X184" s="199"/>
      <c r="Y184" s="199"/>
      <c r="Z184" s="199"/>
      <c r="AA184" s="199"/>
      <c r="AB184" s="199"/>
      <c r="AC184" s="199"/>
      <c r="AD184" s="199"/>
      <c r="AE184" s="199"/>
      <c r="AF184" s="199"/>
      <c r="AG184" s="199"/>
      <c r="AH184" s="199"/>
      <c r="AI184" s="199"/>
      <c r="AJ184" s="199"/>
    </row>
    <row r="185" spans="2:36" ht="15.75" x14ac:dyDescent="0.25">
      <c r="B185" s="160" t="s">
        <v>154</v>
      </c>
      <c r="C185" s="160"/>
      <c r="D185" s="160"/>
      <c r="E185" s="199"/>
      <c r="F185" s="199"/>
      <c r="G185" s="199"/>
      <c r="H185" s="199"/>
      <c r="I185" s="199"/>
      <c r="J185" s="199"/>
      <c r="K185" s="199"/>
      <c r="L185" s="199"/>
      <c r="M185" s="199"/>
      <c r="N185" s="199"/>
      <c r="O185" s="199"/>
      <c r="P185" s="199"/>
      <c r="Q185" s="199"/>
      <c r="R185" s="199"/>
      <c r="S185" s="199"/>
      <c r="T185" s="199"/>
      <c r="U185" s="199"/>
      <c r="V185" s="199"/>
      <c r="W185" s="199"/>
      <c r="X185" s="199"/>
      <c r="Y185" s="199"/>
      <c r="Z185" s="199"/>
      <c r="AA185" s="199"/>
      <c r="AB185" s="199"/>
      <c r="AC185" s="199"/>
      <c r="AD185" s="199"/>
      <c r="AE185" s="199"/>
      <c r="AF185" s="199"/>
      <c r="AG185" s="199"/>
      <c r="AH185" s="199"/>
      <c r="AI185" s="199"/>
      <c r="AJ185" s="199"/>
    </row>
    <row r="186" spans="2:36" ht="15.75" x14ac:dyDescent="0.25">
      <c r="B186" s="161"/>
      <c r="C186" s="161"/>
      <c r="D186" s="161"/>
      <c r="E186" s="199"/>
      <c r="F186" s="199"/>
      <c r="G186" s="199"/>
      <c r="H186" s="199"/>
      <c r="I186" s="199"/>
      <c r="J186" s="199"/>
      <c r="K186" s="199"/>
      <c r="L186" s="199"/>
      <c r="M186" s="199"/>
      <c r="N186" s="199"/>
      <c r="O186" s="199"/>
      <c r="P186" s="199"/>
      <c r="Q186" s="199"/>
      <c r="R186" s="199"/>
      <c r="S186" s="199"/>
      <c r="T186" s="199"/>
      <c r="U186" s="199"/>
      <c r="V186" s="199"/>
      <c r="W186" s="199"/>
      <c r="X186" s="199"/>
      <c r="Y186" s="199"/>
      <c r="Z186" s="199"/>
      <c r="AA186" s="199"/>
      <c r="AB186" s="199"/>
      <c r="AC186" s="199"/>
      <c r="AD186" s="199"/>
      <c r="AE186" s="199"/>
      <c r="AF186" s="199"/>
      <c r="AG186" s="199"/>
      <c r="AH186" s="199"/>
      <c r="AI186" s="199"/>
      <c r="AJ186" s="199"/>
    </row>
    <row r="187" spans="2:36" ht="15.75" x14ac:dyDescent="0.25">
      <c r="B187" s="161" t="s">
        <v>153</v>
      </c>
      <c r="C187" s="161"/>
      <c r="D187" s="161"/>
      <c r="E187" s="199"/>
      <c r="F187" s="199"/>
      <c r="G187" s="178">
        <f t="shared" ref="G187:AJ187" ca="1" si="53">G57</f>
        <v>-118094.39117634285</v>
      </c>
      <c r="H187" s="178">
        <f t="shared" ca="1" si="53"/>
        <v>-424496.60777382884</v>
      </c>
      <c r="I187" s="178">
        <f t="shared" ca="1" si="53"/>
        <v>-183424.92224661907</v>
      </c>
      <c r="J187" s="178">
        <f t="shared" ca="1" si="53"/>
        <v>15549.385400421452</v>
      </c>
      <c r="K187" s="178">
        <f t="shared" ca="1" si="53"/>
        <v>119565.66195811995</v>
      </c>
      <c r="L187" s="178">
        <f t="shared" ca="1" si="53"/>
        <v>199828.94295703451</v>
      </c>
      <c r="M187" s="178">
        <f t="shared" ca="1" si="53"/>
        <v>272029.05032869929</v>
      </c>
      <c r="N187" s="178">
        <f t="shared" ca="1" si="53"/>
        <v>396759.2164568241</v>
      </c>
      <c r="O187" s="178">
        <f t="shared" ca="1" si="53"/>
        <v>501745.33694170183</v>
      </c>
      <c r="P187" s="178">
        <f t="shared" ca="1" si="53"/>
        <v>502728.18418245955</v>
      </c>
      <c r="Q187" s="178">
        <f t="shared" ca="1" si="53"/>
        <v>468047.34508425591</v>
      </c>
      <c r="R187" s="178">
        <f t="shared" ca="1" si="53"/>
        <v>538832.55508606392</v>
      </c>
      <c r="S187" s="178">
        <f t="shared" ca="1" si="53"/>
        <v>511067.37237338338</v>
      </c>
      <c r="T187" s="178">
        <f t="shared" ca="1" si="53"/>
        <v>511094.52697836654</v>
      </c>
      <c r="U187" s="178">
        <f t="shared" ca="1" si="53"/>
        <v>543607.58247839718</v>
      </c>
      <c r="V187" s="178">
        <f t="shared" ca="1" si="53"/>
        <v>562351.90649737779</v>
      </c>
      <c r="W187" s="178">
        <f t="shared" ca="1" si="53"/>
        <v>562374.57216609223</v>
      </c>
      <c r="X187" s="178">
        <f t="shared" ca="1" si="53"/>
        <v>585898.37590430421</v>
      </c>
      <c r="Y187" s="178">
        <f t="shared" ca="1" si="53"/>
        <v>585922.07782689994</v>
      </c>
      <c r="Z187" s="178">
        <f t="shared" ca="1" si="53"/>
        <v>61406.409147828235</v>
      </c>
      <c r="AA187" s="178">
        <f t="shared" si="53"/>
        <v>0</v>
      </c>
      <c r="AB187" s="178">
        <f t="shared" si="53"/>
        <v>0</v>
      </c>
      <c r="AC187" s="178">
        <f t="shared" si="53"/>
        <v>0</v>
      </c>
      <c r="AD187" s="178">
        <f t="shared" si="53"/>
        <v>0</v>
      </c>
      <c r="AE187" s="178">
        <f t="shared" si="53"/>
        <v>0</v>
      </c>
      <c r="AF187" s="178">
        <f t="shared" si="53"/>
        <v>0</v>
      </c>
      <c r="AG187" s="178">
        <f t="shared" si="53"/>
        <v>0</v>
      </c>
      <c r="AH187" s="178">
        <f t="shared" si="53"/>
        <v>0</v>
      </c>
      <c r="AI187" s="178">
        <f t="shared" si="53"/>
        <v>0</v>
      </c>
      <c r="AJ187" s="178">
        <f t="shared" si="53"/>
        <v>0</v>
      </c>
    </row>
    <row r="188" spans="2:36" ht="15.75" x14ac:dyDescent="0.25">
      <c r="B188" s="161"/>
      <c r="C188" s="161"/>
      <c r="D188" s="161"/>
      <c r="E188" s="199"/>
      <c r="F188" s="199"/>
      <c r="G188" s="178"/>
      <c r="H188" s="178"/>
      <c r="I188" s="178"/>
      <c r="J188" s="178"/>
      <c r="K188" s="178"/>
      <c r="L188" s="178"/>
      <c r="M188" s="178"/>
      <c r="N188" s="178"/>
      <c r="O188" s="178"/>
      <c r="P188" s="178"/>
      <c r="Q188" s="178"/>
      <c r="R188" s="178"/>
      <c r="S188" s="178"/>
      <c r="T188" s="178"/>
      <c r="U188" s="178"/>
      <c r="V188" s="178"/>
      <c r="W188" s="178"/>
      <c r="X188" s="178"/>
      <c r="Y188" s="178"/>
      <c r="Z188" s="178"/>
      <c r="AA188" s="178"/>
      <c r="AB188" s="178"/>
      <c r="AC188" s="178"/>
      <c r="AD188" s="178"/>
      <c r="AE188" s="178"/>
      <c r="AF188" s="178"/>
      <c r="AG188" s="178"/>
      <c r="AH188" s="178"/>
      <c r="AI188" s="178"/>
      <c r="AJ188" s="178"/>
    </row>
    <row r="189" spans="2:36" ht="15.75" x14ac:dyDescent="0.25">
      <c r="B189" s="224" t="s">
        <v>191</v>
      </c>
      <c r="C189" s="224"/>
      <c r="D189" s="224"/>
      <c r="E189" s="199"/>
      <c r="F189" s="199"/>
      <c r="G189" s="178"/>
      <c r="H189" s="178"/>
      <c r="I189" s="178"/>
      <c r="J189" s="178"/>
      <c r="K189" s="178"/>
      <c r="L189" s="178"/>
      <c r="M189" s="178"/>
      <c r="N189" s="178"/>
      <c r="O189" s="178"/>
      <c r="P189" s="178"/>
      <c r="Q189" s="178"/>
      <c r="R189" s="178"/>
      <c r="S189" s="178"/>
      <c r="T189" s="178"/>
      <c r="U189" s="178"/>
      <c r="V189" s="178"/>
      <c r="W189" s="178"/>
      <c r="X189" s="178"/>
      <c r="Y189" s="178"/>
      <c r="Z189" s="178"/>
      <c r="AA189" s="178"/>
      <c r="AB189" s="178"/>
      <c r="AC189" s="178"/>
      <c r="AD189" s="178"/>
      <c r="AE189" s="178"/>
      <c r="AF189" s="178"/>
      <c r="AG189" s="178"/>
      <c r="AH189" s="178"/>
      <c r="AI189" s="178"/>
      <c r="AJ189" s="178"/>
    </row>
    <row r="190" spans="2:36" ht="15.75" x14ac:dyDescent="0.25">
      <c r="B190" s="161" t="s">
        <v>156</v>
      </c>
      <c r="C190" s="161"/>
      <c r="D190" s="161"/>
      <c r="E190" s="199"/>
      <c r="F190" s="199"/>
      <c r="G190" s="178">
        <v>0</v>
      </c>
      <c r="H190" s="178">
        <f ca="1">G193</f>
        <v>118094.39117634285</v>
      </c>
      <c r="I190" s="178">
        <f t="shared" ref="I190:AJ190" ca="1" si="54">H193</f>
        <v>542590.99895017175</v>
      </c>
      <c r="J190" s="178">
        <f t="shared" ca="1" si="54"/>
        <v>726015.92119679088</v>
      </c>
      <c r="K190" s="178">
        <f t="shared" ca="1" si="54"/>
        <v>710466.53579636943</v>
      </c>
      <c r="L190" s="178">
        <f t="shared" ca="1" si="54"/>
        <v>590900.87383824948</v>
      </c>
      <c r="M190" s="178">
        <f t="shared" ca="1" si="54"/>
        <v>391071.93088121497</v>
      </c>
      <c r="N190" s="178">
        <f t="shared" ca="1" si="54"/>
        <v>119042.88055251568</v>
      </c>
      <c r="O190" s="178">
        <f t="shared" ca="1" si="54"/>
        <v>0</v>
      </c>
      <c r="P190" s="178">
        <f t="shared" ca="1" si="54"/>
        <v>0</v>
      </c>
      <c r="Q190" s="178">
        <f t="shared" ca="1" si="54"/>
        <v>0</v>
      </c>
      <c r="R190" s="178">
        <f t="shared" ca="1" si="54"/>
        <v>0</v>
      </c>
      <c r="S190" s="178">
        <f t="shared" ca="1" si="54"/>
        <v>0</v>
      </c>
      <c r="T190" s="178">
        <f t="shared" ca="1" si="54"/>
        <v>0</v>
      </c>
      <c r="U190" s="178">
        <f t="shared" ca="1" si="54"/>
        <v>0</v>
      </c>
      <c r="V190" s="178">
        <f t="shared" ca="1" si="54"/>
        <v>0</v>
      </c>
      <c r="W190" s="178">
        <f t="shared" ca="1" si="54"/>
        <v>0</v>
      </c>
      <c r="X190" s="178">
        <f t="shared" ca="1" si="54"/>
        <v>0</v>
      </c>
      <c r="Y190" s="178">
        <f t="shared" ca="1" si="54"/>
        <v>0</v>
      </c>
      <c r="Z190" s="178">
        <f t="shared" ca="1" si="54"/>
        <v>0</v>
      </c>
      <c r="AA190" s="178">
        <f t="shared" ca="1" si="54"/>
        <v>0</v>
      </c>
      <c r="AB190" s="178">
        <f t="shared" ca="1" si="54"/>
        <v>0</v>
      </c>
      <c r="AC190" s="178">
        <f t="shared" ca="1" si="54"/>
        <v>0</v>
      </c>
      <c r="AD190" s="178">
        <f t="shared" ca="1" si="54"/>
        <v>0</v>
      </c>
      <c r="AE190" s="178">
        <f t="shared" ca="1" si="54"/>
        <v>0</v>
      </c>
      <c r="AF190" s="178">
        <f t="shared" ca="1" si="54"/>
        <v>0</v>
      </c>
      <c r="AG190" s="178">
        <f t="shared" ca="1" si="54"/>
        <v>0</v>
      </c>
      <c r="AH190" s="178">
        <f t="shared" ca="1" si="54"/>
        <v>0</v>
      </c>
      <c r="AI190" s="178">
        <f t="shared" ca="1" si="54"/>
        <v>0</v>
      </c>
      <c r="AJ190" s="178">
        <f t="shared" ca="1" si="54"/>
        <v>0</v>
      </c>
    </row>
    <row r="191" spans="2:36" ht="15.75" x14ac:dyDescent="0.25">
      <c r="B191" s="161" t="s">
        <v>157</v>
      </c>
      <c r="C191" s="161"/>
      <c r="D191" s="161"/>
      <c r="E191" s="199"/>
      <c r="F191" s="199"/>
      <c r="G191" s="178">
        <f ca="1">IF(G$187&gt;0,0,-G$187)</f>
        <v>118094.39117634285</v>
      </c>
      <c r="H191" s="178">
        <f t="shared" ref="H191:AJ191" ca="1" si="55">IF(H$187&gt;0,0,-H$187)</f>
        <v>424496.60777382884</v>
      </c>
      <c r="I191" s="178">
        <f t="shared" ca="1" si="55"/>
        <v>183424.92224661907</v>
      </c>
      <c r="J191" s="178">
        <f t="shared" ca="1" si="55"/>
        <v>0</v>
      </c>
      <c r="K191" s="178">
        <f t="shared" ca="1" si="55"/>
        <v>0</v>
      </c>
      <c r="L191" s="178">
        <f t="shared" ca="1" si="55"/>
        <v>0</v>
      </c>
      <c r="M191" s="178">
        <f t="shared" ca="1" si="55"/>
        <v>0</v>
      </c>
      <c r="N191" s="178">
        <f t="shared" ca="1" si="55"/>
        <v>0</v>
      </c>
      <c r="O191" s="178">
        <f t="shared" ca="1" si="55"/>
        <v>0</v>
      </c>
      <c r="P191" s="178">
        <f t="shared" ca="1" si="55"/>
        <v>0</v>
      </c>
      <c r="Q191" s="178">
        <f t="shared" ca="1" si="55"/>
        <v>0</v>
      </c>
      <c r="R191" s="178">
        <f t="shared" ca="1" si="55"/>
        <v>0</v>
      </c>
      <c r="S191" s="178">
        <f t="shared" ca="1" si="55"/>
        <v>0</v>
      </c>
      <c r="T191" s="178">
        <f t="shared" ca="1" si="55"/>
        <v>0</v>
      </c>
      <c r="U191" s="178">
        <f t="shared" ca="1" si="55"/>
        <v>0</v>
      </c>
      <c r="V191" s="178">
        <f t="shared" ca="1" si="55"/>
        <v>0</v>
      </c>
      <c r="W191" s="178">
        <f t="shared" ca="1" si="55"/>
        <v>0</v>
      </c>
      <c r="X191" s="178">
        <f t="shared" ca="1" si="55"/>
        <v>0</v>
      </c>
      <c r="Y191" s="178">
        <f t="shared" ca="1" si="55"/>
        <v>0</v>
      </c>
      <c r="Z191" s="178">
        <f t="shared" ca="1" si="55"/>
        <v>0</v>
      </c>
      <c r="AA191" s="178">
        <f t="shared" si="55"/>
        <v>0</v>
      </c>
      <c r="AB191" s="178">
        <f t="shared" si="55"/>
        <v>0</v>
      </c>
      <c r="AC191" s="178">
        <f t="shared" si="55"/>
        <v>0</v>
      </c>
      <c r="AD191" s="178">
        <f t="shared" si="55"/>
        <v>0</v>
      </c>
      <c r="AE191" s="178">
        <f t="shared" si="55"/>
        <v>0</v>
      </c>
      <c r="AF191" s="178">
        <f t="shared" si="55"/>
        <v>0</v>
      </c>
      <c r="AG191" s="178">
        <f t="shared" si="55"/>
        <v>0</v>
      </c>
      <c r="AH191" s="178">
        <f t="shared" si="55"/>
        <v>0</v>
      </c>
      <c r="AI191" s="178">
        <f t="shared" si="55"/>
        <v>0</v>
      </c>
      <c r="AJ191" s="178">
        <f t="shared" si="55"/>
        <v>0</v>
      </c>
    </row>
    <row r="192" spans="2:36" ht="15.75" x14ac:dyDescent="0.25">
      <c r="B192" s="161" t="s">
        <v>155</v>
      </c>
      <c r="C192" s="161"/>
      <c r="D192" s="161"/>
      <c r="E192" s="199"/>
      <c r="F192" s="199"/>
      <c r="G192" s="178">
        <f t="shared" ref="G192:L192" ca="1" si="56">IF(G$187&lt;=0,0,-MIN(G$187,F$193))</f>
        <v>0</v>
      </c>
      <c r="H192" s="178">
        <f t="shared" ca="1" si="56"/>
        <v>0</v>
      </c>
      <c r="I192" s="178">
        <f t="shared" ca="1" si="56"/>
        <v>0</v>
      </c>
      <c r="J192" s="178">
        <f t="shared" ca="1" si="56"/>
        <v>-15549.385400421452</v>
      </c>
      <c r="K192" s="178">
        <f t="shared" ca="1" si="56"/>
        <v>-119565.66195811995</v>
      </c>
      <c r="L192" s="178">
        <f t="shared" ca="1" si="56"/>
        <v>-199828.94295703451</v>
      </c>
      <c r="M192" s="178">
        <f ca="1">IF(M$187&lt;=0,0,-MIN(M$187,L$193))</f>
        <v>-272029.05032869929</v>
      </c>
      <c r="N192" s="178">
        <f t="shared" ref="N192:AJ192" ca="1" si="57">IF(N$187&lt;=0,0,-MIN(N$187,M$193))</f>
        <v>-119042.88055251568</v>
      </c>
      <c r="O192" s="178">
        <f t="shared" ca="1" si="57"/>
        <v>0</v>
      </c>
      <c r="P192" s="178">
        <f t="shared" ca="1" si="57"/>
        <v>0</v>
      </c>
      <c r="Q192" s="178">
        <f t="shared" ca="1" si="57"/>
        <v>0</v>
      </c>
      <c r="R192" s="178">
        <f t="shared" ca="1" si="57"/>
        <v>0</v>
      </c>
      <c r="S192" s="178">
        <f t="shared" ca="1" si="57"/>
        <v>0</v>
      </c>
      <c r="T192" s="178">
        <f t="shared" ca="1" si="57"/>
        <v>0</v>
      </c>
      <c r="U192" s="178">
        <f t="shared" ca="1" si="57"/>
        <v>0</v>
      </c>
      <c r="V192" s="178">
        <f t="shared" ca="1" si="57"/>
        <v>0</v>
      </c>
      <c r="W192" s="178">
        <f t="shared" ca="1" si="57"/>
        <v>0</v>
      </c>
      <c r="X192" s="178">
        <f t="shared" ca="1" si="57"/>
        <v>0</v>
      </c>
      <c r="Y192" s="178">
        <f t="shared" ca="1" si="57"/>
        <v>0</v>
      </c>
      <c r="Z192" s="178">
        <f t="shared" ca="1" si="57"/>
        <v>0</v>
      </c>
      <c r="AA192" s="178">
        <f t="shared" si="57"/>
        <v>0</v>
      </c>
      <c r="AB192" s="178">
        <f t="shared" si="57"/>
        <v>0</v>
      </c>
      <c r="AC192" s="178">
        <f t="shared" si="57"/>
        <v>0</v>
      </c>
      <c r="AD192" s="178">
        <f t="shared" si="57"/>
        <v>0</v>
      </c>
      <c r="AE192" s="178">
        <f t="shared" si="57"/>
        <v>0</v>
      </c>
      <c r="AF192" s="178">
        <f t="shared" si="57"/>
        <v>0</v>
      </c>
      <c r="AG192" s="178">
        <f t="shared" si="57"/>
        <v>0</v>
      </c>
      <c r="AH192" s="178">
        <f t="shared" si="57"/>
        <v>0</v>
      </c>
      <c r="AI192" s="178">
        <f t="shared" si="57"/>
        <v>0</v>
      </c>
      <c r="AJ192" s="178">
        <f t="shared" si="57"/>
        <v>0</v>
      </c>
    </row>
    <row r="193" spans="2:36" ht="15.75" x14ac:dyDescent="0.25">
      <c r="B193" s="161" t="s">
        <v>158</v>
      </c>
      <c r="C193" s="161"/>
      <c r="D193" s="161"/>
      <c r="E193" s="199"/>
      <c r="F193" s="199"/>
      <c r="G193" s="178">
        <f ca="1">SUM(G190:G192)</f>
        <v>118094.39117634285</v>
      </c>
      <c r="H193" s="178">
        <f t="shared" ref="H193:AJ193" ca="1" si="58">SUM(H190:H192)</f>
        <v>542590.99895017175</v>
      </c>
      <c r="I193" s="178">
        <f t="shared" ca="1" si="58"/>
        <v>726015.92119679088</v>
      </c>
      <c r="J193" s="178">
        <f t="shared" ca="1" si="58"/>
        <v>710466.53579636943</v>
      </c>
      <c r="K193" s="178">
        <f t="shared" ca="1" si="58"/>
        <v>590900.87383824948</v>
      </c>
      <c r="L193" s="178">
        <f t="shared" ca="1" si="58"/>
        <v>391071.93088121497</v>
      </c>
      <c r="M193" s="178">
        <f t="shared" ca="1" si="58"/>
        <v>119042.88055251568</v>
      </c>
      <c r="N193" s="178">
        <f t="shared" ca="1" si="58"/>
        <v>0</v>
      </c>
      <c r="O193" s="178">
        <f t="shared" ca="1" si="58"/>
        <v>0</v>
      </c>
      <c r="P193" s="178">
        <f t="shared" ca="1" si="58"/>
        <v>0</v>
      </c>
      <c r="Q193" s="178">
        <f t="shared" ca="1" si="58"/>
        <v>0</v>
      </c>
      <c r="R193" s="178">
        <f t="shared" ca="1" si="58"/>
        <v>0</v>
      </c>
      <c r="S193" s="178">
        <f t="shared" ca="1" si="58"/>
        <v>0</v>
      </c>
      <c r="T193" s="178">
        <f t="shared" ca="1" si="58"/>
        <v>0</v>
      </c>
      <c r="U193" s="178">
        <f t="shared" ca="1" si="58"/>
        <v>0</v>
      </c>
      <c r="V193" s="178">
        <f t="shared" ca="1" si="58"/>
        <v>0</v>
      </c>
      <c r="W193" s="178">
        <f t="shared" ca="1" si="58"/>
        <v>0</v>
      </c>
      <c r="X193" s="178">
        <f t="shared" ca="1" si="58"/>
        <v>0</v>
      </c>
      <c r="Y193" s="178">
        <f t="shared" ca="1" si="58"/>
        <v>0</v>
      </c>
      <c r="Z193" s="178">
        <f t="shared" ca="1" si="58"/>
        <v>0</v>
      </c>
      <c r="AA193" s="178">
        <f t="shared" ca="1" si="58"/>
        <v>0</v>
      </c>
      <c r="AB193" s="178">
        <f t="shared" ca="1" si="58"/>
        <v>0</v>
      </c>
      <c r="AC193" s="178">
        <f t="shared" ca="1" si="58"/>
        <v>0</v>
      </c>
      <c r="AD193" s="178">
        <f t="shared" ca="1" si="58"/>
        <v>0</v>
      </c>
      <c r="AE193" s="178">
        <f t="shared" ca="1" si="58"/>
        <v>0</v>
      </c>
      <c r="AF193" s="178">
        <f t="shared" ca="1" si="58"/>
        <v>0</v>
      </c>
      <c r="AG193" s="178">
        <f t="shared" ca="1" si="58"/>
        <v>0</v>
      </c>
      <c r="AH193" s="178">
        <f t="shared" ca="1" si="58"/>
        <v>0</v>
      </c>
      <c r="AI193" s="178">
        <f t="shared" ca="1" si="58"/>
        <v>0</v>
      </c>
      <c r="AJ193" s="178">
        <f t="shared" ca="1" si="58"/>
        <v>0</v>
      </c>
    </row>
    <row r="194" spans="2:36" ht="15.75" x14ac:dyDescent="0.25">
      <c r="B194" s="161"/>
      <c r="C194" s="161"/>
      <c r="D194" s="161"/>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ht="15.75" x14ac:dyDescent="0.25">
      <c r="B195" s="161" t="s">
        <v>159</v>
      </c>
      <c r="C195" s="161"/>
      <c r="D195" s="161"/>
      <c r="E195" s="199"/>
      <c r="F195" s="199"/>
      <c r="G195" s="178">
        <f ca="1">G187+G191+G192</f>
        <v>0</v>
      </c>
      <c r="H195" s="178">
        <f t="shared" ref="H195:AJ195" ca="1" si="59">H187+H191+H192</f>
        <v>0</v>
      </c>
      <c r="I195" s="178">
        <f t="shared" ca="1" si="59"/>
        <v>0</v>
      </c>
      <c r="J195" s="178">
        <f t="shared" ca="1" si="59"/>
        <v>0</v>
      </c>
      <c r="K195" s="178">
        <f t="shared" ca="1" si="59"/>
        <v>0</v>
      </c>
      <c r="L195" s="178">
        <f t="shared" ca="1" si="59"/>
        <v>0</v>
      </c>
      <c r="M195" s="178">
        <f t="shared" ca="1" si="59"/>
        <v>0</v>
      </c>
      <c r="N195" s="178">
        <f t="shared" ca="1" si="59"/>
        <v>277716.33590430842</v>
      </c>
      <c r="O195" s="178">
        <f t="shared" ca="1" si="59"/>
        <v>501745.33694170183</v>
      </c>
      <c r="P195" s="178">
        <f t="shared" ca="1" si="59"/>
        <v>502728.18418245955</v>
      </c>
      <c r="Q195" s="178">
        <f t="shared" ca="1" si="59"/>
        <v>468047.34508425591</v>
      </c>
      <c r="R195" s="178">
        <f t="shared" ca="1" si="59"/>
        <v>538832.55508606392</v>
      </c>
      <c r="S195" s="178">
        <f t="shared" ca="1" si="59"/>
        <v>511067.37237338338</v>
      </c>
      <c r="T195" s="178">
        <f t="shared" ca="1" si="59"/>
        <v>511094.52697836654</v>
      </c>
      <c r="U195" s="178">
        <f t="shared" ca="1" si="59"/>
        <v>543607.58247839718</v>
      </c>
      <c r="V195" s="178">
        <f t="shared" ca="1" si="59"/>
        <v>562351.90649737779</v>
      </c>
      <c r="W195" s="178">
        <f t="shared" ca="1" si="59"/>
        <v>562374.57216609223</v>
      </c>
      <c r="X195" s="178">
        <f t="shared" ca="1" si="59"/>
        <v>585898.37590430421</v>
      </c>
      <c r="Y195" s="178">
        <f t="shared" ca="1" si="59"/>
        <v>585922.07782689994</v>
      </c>
      <c r="Z195" s="178">
        <f t="shared" ca="1" si="59"/>
        <v>61406.409147828235</v>
      </c>
      <c r="AA195" s="178">
        <f t="shared" si="59"/>
        <v>0</v>
      </c>
      <c r="AB195" s="178">
        <f t="shared" si="59"/>
        <v>0</v>
      </c>
      <c r="AC195" s="178">
        <f t="shared" si="59"/>
        <v>0</v>
      </c>
      <c r="AD195" s="178">
        <f t="shared" si="59"/>
        <v>0</v>
      </c>
      <c r="AE195" s="178">
        <f t="shared" si="59"/>
        <v>0</v>
      </c>
      <c r="AF195" s="178">
        <f t="shared" si="59"/>
        <v>0</v>
      </c>
      <c r="AG195" s="178">
        <f t="shared" si="59"/>
        <v>0</v>
      </c>
      <c r="AH195" s="178">
        <f t="shared" si="59"/>
        <v>0</v>
      </c>
      <c r="AI195" s="178">
        <f t="shared" si="59"/>
        <v>0</v>
      </c>
      <c r="AJ195" s="178">
        <f t="shared" si="59"/>
        <v>0</v>
      </c>
    </row>
    <row r="196" spans="2:36" ht="15.75" x14ac:dyDescent="0.25">
      <c r="B196" s="161"/>
      <c r="C196" s="161"/>
      <c r="D196" s="161"/>
      <c r="E196" s="199"/>
      <c r="F196" s="199"/>
      <c r="G196" s="178"/>
      <c r="H196" s="178"/>
      <c r="I196" s="178"/>
      <c r="J196" s="178"/>
      <c r="K196" s="178"/>
      <c r="L196" s="178"/>
      <c r="M196" s="178"/>
      <c r="N196" s="178"/>
      <c r="O196" s="178"/>
      <c r="P196" s="178"/>
      <c r="Q196" s="178"/>
      <c r="R196" s="178"/>
      <c r="S196" s="178"/>
      <c r="T196" s="178"/>
      <c r="U196" s="178"/>
      <c r="V196" s="178"/>
      <c r="W196" s="178"/>
      <c r="X196" s="178"/>
      <c r="Y196" s="178"/>
      <c r="Z196" s="178"/>
      <c r="AA196" s="178"/>
      <c r="AB196" s="178"/>
      <c r="AC196" s="178"/>
      <c r="AD196" s="178"/>
      <c r="AE196" s="178"/>
      <c r="AF196" s="178"/>
      <c r="AG196" s="178"/>
      <c r="AH196" s="178"/>
      <c r="AI196" s="178"/>
      <c r="AJ196" s="178"/>
    </row>
    <row r="197" spans="2:36" ht="15.75" x14ac:dyDescent="0.25">
      <c r="B197" s="224" t="s">
        <v>192</v>
      </c>
      <c r="C197" s="224"/>
      <c r="D197" s="224"/>
      <c r="E197" s="199"/>
      <c r="F197" s="199"/>
      <c r="G197" s="178"/>
      <c r="H197" s="178"/>
      <c r="I197" s="178"/>
      <c r="J197" s="178"/>
      <c r="K197" s="178"/>
      <c r="L197" s="178"/>
      <c r="M197" s="178"/>
      <c r="N197" s="178"/>
      <c r="O197" s="178"/>
      <c r="P197" s="178"/>
      <c r="Q197" s="178"/>
      <c r="R197" s="178"/>
      <c r="S197" s="178"/>
      <c r="T197" s="178"/>
      <c r="U197" s="178"/>
      <c r="V197" s="178"/>
      <c r="W197" s="178"/>
      <c r="X197" s="178"/>
      <c r="Y197" s="178"/>
      <c r="Z197" s="178"/>
      <c r="AA197" s="178"/>
      <c r="AB197" s="178"/>
      <c r="AC197" s="178"/>
      <c r="AD197" s="178"/>
      <c r="AE197" s="178"/>
      <c r="AF197" s="178"/>
      <c r="AG197" s="178"/>
      <c r="AH197" s="178"/>
      <c r="AI197" s="178"/>
      <c r="AJ197" s="178"/>
    </row>
    <row r="198" spans="2:36" ht="15.75" x14ac:dyDescent="0.25">
      <c r="B198" s="161" t="s">
        <v>156</v>
      </c>
      <c r="C198" s="161"/>
      <c r="D198" s="161"/>
      <c r="E198" s="199"/>
      <c r="F198" s="199"/>
      <c r="G198" s="178">
        <v>0</v>
      </c>
      <c r="H198" s="178">
        <f ca="1">G201</f>
        <v>118094.39117634285</v>
      </c>
      <c r="I198" s="178">
        <f t="shared" ref="I198:AJ198" ca="1" si="60">H201</f>
        <v>542590.99895017175</v>
      </c>
      <c r="J198" s="178">
        <f t="shared" ca="1" si="60"/>
        <v>726015.92119679088</v>
      </c>
      <c r="K198" s="178">
        <f t="shared" ca="1" si="60"/>
        <v>710466.53579636943</v>
      </c>
      <c r="L198" s="178">
        <f t="shared" ca="1" si="60"/>
        <v>590900.87383824948</v>
      </c>
      <c r="M198" s="178">
        <f t="shared" ca="1" si="60"/>
        <v>391071.93088121497</v>
      </c>
      <c r="N198" s="178">
        <f t="shared" ca="1" si="60"/>
        <v>119042.88055251568</v>
      </c>
      <c r="O198" s="178">
        <f t="shared" ca="1" si="60"/>
        <v>0</v>
      </c>
      <c r="P198" s="178">
        <f t="shared" ca="1" si="60"/>
        <v>0</v>
      </c>
      <c r="Q198" s="178">
        <f t="shared" ca="1" si="60"/>
        <v>0</v>
      </c>
      <c r="R198" s="178">
        <f t="shared" ca="1" si="60"/>
        <v>0</v>
      </c>
      <c r="S198" s="178">
        <f t="shared" ca="1" si="60"/>
        <v>0</v>
      </c>
      <c r="T198" s="178">
        <f t="shared" ca="1" si="60"/>
        <v>0</v>
      </c>
      <c r="U198" s="178">
        <f t="shared" ca="1" si="60"/>
        <v>0</v>
      </c>
      <c r="V198" s="178">
        <f t="shared" ca="1" si="60"/>
        <v>0</v>
      </c>
      <c r="W198" s="178">
        <f t="shared" ca="1" si="60"/>
        <v>0</v>
      </c>
      <c r="X198" s="178">
        <f t="shared" ca="1" si="60"/>
        <v>0</v>
      </c>
      <c r="Y198" s="178">
        <f t="shared" ca="1" si="60"/>
        <v>0</v>
      </c>
      <c r="Z198" s="178">
        <f t="shared" ca="1" si="60"/>
        <v>0</v>
      </c>
      <c r="AA198" s="178">
        <f t="shared" ca="1" si="60"/>
        <v>0</v>
      </c>
      <c r="AB198" s="178">
        <f t="shared" ca="1" si="60"/>
        <v>0</v>
      </c>
      <c r="AC198" s="178">
        <f t="shared" ca="1" si="60"/>
        <v>0</v>
      </c>
      <c r="AD198" s="178">
        <f t="shared" ca="1" si="60"/>
        <v>0</v>
      </c>
      <c r="AE198" s="178">
        <f t="shared" ca="1" si="60"/>
        <v>0</v>
      </c>
      <c r="AF198" s="178">
        <f t="shared" ca="1" si="60"/>
        <v>0</v>
      </c>
      <c r="AG198" s="178">
        <f t="shared" ca="1" si="60"/>
        <v>0</v>
      </c>
      <c r="AH198" s="178">
        <f t="shared" ca="1" si="60"/>
        <v>0</v>
      </c>
      <c r="AI198" s="178">
        <f t="shared" ca="1" si="60"/>
        <v>0</v>
      </c>
      <c r="AJ198" s="178">
        <f t="shared" ca="1" si="60"/>
        <v>0</v>
      </c>
    </row>
    <row r="199" spans="2:36" ht="15.75" x14ac:dyDescent="0.25">
      <c r="B199" s="161" t="s">
        <v>157</v>
      </c>
      <c r="C199" s="161"/>
      <c r="D199" s="161"/>
      <c r="E199" s="199"/>
      <c r="F199" s="199"/>
      <c r="G199" s="178">
        <f ca="1">IF(G$187&gt;0,0,-G$187)</f>
        <v>118094.39117634285</v>
      </c>
      <c r="H199" s="178">
        <f t="shared" ref="H199:AJ199" ca="1" si="61">IF(H$187&gt;0,0,-H$187)</f>
        <v>424496.60777382884</v>
      </c>
      <c r="I199" s="178">
        <f t="shared" ca="1" si="61"/>
        <v>183424.92224661907</v>
      </c>
      <c r="J199" s="178">
        <f t="shared" ca="1" si="61"/>
        <v>0</v>
      </c>
      <c r="K199" s="178">
        <f t="shared" ca="1" si="61"/>
        <v>0</v>
      </c>
      <c r="L199" s="178">
        <f t="shared" ca="1" si="61"/>
        <v>0</v>
      </c>
      <c r="M199" s="178">
        <f t="shared" ca="1" si="61"/>
        <v>0</v>
      </c>
      <c r="N199" s="178">
        <f t="shared" ca="1" si="61"/>
        <v>0</v>
      </c>
      <c r="O199" s="178">
        <f t="shared" ca="1" si="61"/>
        <v>0</v>
      </c>
      <c r="P199" s="178">
        <f t="shared" ca="1" si="61"/>
        <v>0</v>
      </c>
      <c r="Q199" s="178">
        <f t="shared" ca="1" si="61"/>
        <v>0</v>
      </c>
      <c r="R199" s="178">
        <f t="shared" ca="1" si="61"/>
        <v>0</v>
      </c>
      <c r="S199" s="178">
        <f t="shared" ca="1" si="61"/>
        <v>0</v>
      </c>
      <c r="T199" s="178">
        <f t="shared" ca="1" si="61"/>
        <v>0</v>
      </c>
      <c r="U199" s="178">
        <f t="shared" ca="1" si="61"/>
        <v>0</v>
      </c>
      <c r="V199" s="178">
        <f t="shared" ca="1" si="61"/>
        <v>0</v>
      </c>
      <c r="W199" s="178">
        <f t="shared" ca="1" si="61"/>
        <v>0</v>
      </c>
      <c r="X199" s="178">
        <f t="shared" ca="1" si="61"/>
        <v>0</v>
      </c>
      <c r="Y199" s="178">
        <f t="shared" ca="1" si="61"/>
        <v>0</v>
      </c>
      <c r="Z199" s="178">
        <f t="shared" ca="1" si="61"/>
        <v>0</v>
      </c>
      <c r="AA199" s="178">
        <f t="shared" si="61"/>
        <v>0</v>
      </c>
      <c r="AB199" s="178">
        <f t="shared" si="61"/>
        <v>0</v>
      </c>
      <c r="AC199" s="178">
        <f t="shared" si="61"/>
        <v>0</v>
      </c>
      <c r="AD199" s="178">
        <f t="shared" si="61"/>
        <v>0</v>
      </c>
      <c r="AE199" s="178">
        <f t="shared" si="61"/>
        <v>0</v>
      </c>
      <c r="AF199" s="178">
        <f t="shared" si="61"/>
        <v>0</v>
      </c>
      <c r="AG199" s="178">
        <f t="shared" si="61"/>
        <v>0</v>
      </c>
      <c r="AH199" s="178">
        <f t="shared" si="61"/>
        <v>0</v>
      </c>
      <c r="AI199" s="178">
        <f t="shared" si="61"/>
        <v>0</v>
      </c>
      <c r="AJ199" s="178">
        <f t="shared" si="61"/>
        <v>0</v>
      </c>
    </row>
    <row r="200" spans="2:36" ht="15.75" x14ac:dyDescent="0.25">
      <c r="B200" s="161" t="s">
        <v>155</v>
      </c>
      <c r="C200" s="161"/>
      <c r="D200" s="161"/>
      <c r="E200" s="199"/>
      <c r="F200" s="199"/>
      <c r="G200" s="178">
        <f t="shared" ref="G200:AJ200" ca="1" si="62">IF(G$187&lt;=0,0,-MIN(G$187,F$193))</f>
        <v>0</v>
      </c>
      <c r="H200" s="178">
        <f t="shared" ca="1" si="62"/>
        <v>0</v>
      </c>
      <c r="I200" s="178">
        <f t="shared" ca="1" si="62"/>
        <v>0</v>
      </c>
      <c r="J200" s="178">
        <f t="shared" ca="1" si="62"/>
        <v>-15549.385400421452</v>
      </c>
      <c r="K200" s="178">
        <f t="shared" ca="1" si="62"/>
        <v>-119565.66195811995</v>
      </c>
      <c r="L200" s="178">
        <f t="shared" ca="1" si="62"/>
        <v>-199828.94295703451</v>
      </c>
      <c r="M200" s="178">
        <f t="shared" ca="1" si="62"/>
        <v>-272029.05032869929</v>
      </c>
      <c r="N200" s="178">
        <f t="shared" ca="1" si="62"/>
        <v>-119042.88055251568</v>
      </c>
      <c r="O200" s="178">
        <f t="shared" ca="1" si="62"/>
        <v>0</v>
      </c>
      <c r="P200" s="178">
        <f t="shared" ca="1" si="62"/>
        <v>0</v>
      </c>
      <c r="Q200" s="178">
        <f t="shared" ca="1" si="62"/>
        <v>0</v>
      </c>
      <c r="R200" s="178">
        <f t="shared" ca="1" si="62"/>
        <v>0</v>
      </c>
      <c r="S200" s="178">
        <f t="shared" ca="1" si="62"/>
        <v>0</v>
      </c>
      <c r="T200" s="178">
        <f t="shared" ca="1" si="62"/>
        <v>0</v>
      </c>
      <c r="U200" s="178">
        <f t="shared" ca="1" si="62"/>
        <v>0</v>
      </c>
      <c r="V200" s="178">
        <f t="shared" ca="1" si="62"/>
        <v>0</v>
      </c>
      <c r="W200" s="178">
        <f t="shared" ca="1" si="62"/>
        <v>0</v>
      </c>
      <c r="X200" s="178">
        <f t="shared" ca="1" si="62"/>
        <v>0</v>
      </c>
      <c r="Y200" s="178">
        <f t="shared" ca="1" si="62"/>
        <v>0</v>
      </c>
      <c r="Z200" s="178">
        <f t="shared" ca="1" si="62"/>
        <v>0</v>
      </c>
      <c r="AA200" s="178">
        <f t="shared" si="62"/>
        <v>0</v>
      </c>
      <c r="AB200" s="178">
        <f t="shared" si="62"/>
        <v>0</v>
      </c>
      <c r="AC200" s="178">
        <f t="shared" si="62"/>
        <v>0</v>
      </c>
      <c r="AD200" s="178">
        <f t="shared" si="62"/>
        <v>0</v>
      </c>
      <c r="AE200" s="178">
        <f t="shared" si="62"/>
        <v>0</v>
      </c>
      <c r="AF200" s="178">
        <f t="shared" si="62"/>
        <v>0</v>
      </c>
      <c r="AG200" s="178">
        <f t="shared" si="62"/>
        <v>0</v>
      </c>
      <c r="AH200" s="178">
        <f t="shared" si="62"/>
        <v>0</v>
      </c>
      <c r="AI200" s="178">
        <f t="shared" si="62"/>
        <v>0</v>
      </c>
      <c r="AJ200" s="178">
        <f t="shared" si="62"/>
        <v>0</v>
      </c>
    </row>
    <row r="201" spans="2:36" ht="15.75" x14ac:dyDescent="0.25">
      <c r="B201" s="161" t="s">
        <v>158</v>
      </c>
      <c r="C201" s="161"/>
      <c r="D201" s="161"/>
      <c r="E201" s="199"/>
      <c r="F201" s="199"/>
      <c r="G201" s="178">
        <f ca="1">SUM(G198:G200)</f>
        <v>118094.39117634285</v>
      </c>
      <c r="H201" s="178">
        <f t="shared" ref="H201:AJ201" ca="1" si="63">SUM(H198:H200)</f>
        <v>542590.99895017175</v>
      </c>
      <c r="I201" s="178">
        <f t="shared" ca="1" si="63"/>
        <v>726015.92119679088</v>
      </c>
      <c r="J201" s="178">
        <f t="shared" ca="1" si="63"/>
        <v>710466.53579636943</v>
      </c>
      <c r="K201" s="178">
        <f t="shared" ca="1" si="63"/>
        <v>590900.87383824948</v>
      </c>
      <c r="L201" s="178">
        <f t="shared" ca="1" si="63"/>
        <v>391071.93088121497</v>
      </c>
      <c r="M201" s="178">
        <f t="shared" ca="1" si="63"/>
        <v>119042.88055251568</v>
      </c>
      <c r="N201" s="178">
        <f t="shared" ca="1" si="63"/>
        <v>0</v>
      </c>
      <c r="O201" s="178">
        <f t="shared" ca="1" si="63"/>
        <v>0</v>
      </c>
      <c r="P201" s="178">
        <f t="shared" ca="1" si="63"/>
        <v>0</v>
      </c>
      <c r="Q201" s="178">
        <f t="shared" ca="1" si="63"/>
        <v>0</v>
      </c>
      <c r="R201" s="178">
        <f t="shared" ca="1" si="63"/>
        <v>0</v>
      </c>
      <c r="S201" s="178">
        <f t="shared" ca="1" si="63"/>
        <v>0</v>
      </c>
      <c r="T201" s="178">
        <f t="shared" ca="1" si="63"/>
        <v>0</v>
      </c>
      <c r="U201" s="178">
        <f t="shared" ca="1" si="63"/>
        <v>0</v>
      </c>
      <c r="V201" s="178">
        <f t="shared" ca="1" si="63"/>
        <v>0</v>
      </c>
      <c r="W201" s="178">
        <f t="shared" ca="1" si="63"/>
        <v>0</v>
      </c>
      <c r="X201" s="178">
        <f t="shared" ca="1" si="63"/>
        <v>0</v>
      </c>
      <c r="Y201" s="178">
        <f t="shared" ca="1" si="63"/>
        <v>0</v>
      </c>
      <c r="Z201" s="178">
        <f t="shared" ca="1" si="63"/>
        <v>0</v>
      </c>
      <c r="AA201" s="178">
        <f t="shared" ca="1" si="63"/>
        <v>0</v>
      </c>
      <c r="AB201" s="178">
        <f t="shared" ca="1" si="63"/>
        <v>0</v>
      </c>
      <c r="AC201" s="178">
        <f t="shared" ca="1" si="63"/>
        <v>0</v>
      </c>
      <c r="AD201" s="178">
        <f t="shared" ca="1" si="63"/>
        <v>0</v>
      </c>
      <c r="AE201" s="178">
        <f t="shared" ca="1" si="63"/>
        <v>0</v>
      </c>
      <c r="AF201" s="178">
        <f t="shared" ca="1" si="63"/>
        <v>0</v>
      </c>
      <c r="AG201" s="178">
        <f t="shared" ca="1" si="63"/>
        <v>0</v>
      </c>
      <c r="AH201" s="178">
        <f t="shared" ca="1" si="63"/>
        <v>0</v>
      </c>
      <c r="AI201" s="178">
        <f t="shared" ca="1" si="63"/>
        <v>0</v>
      </c>
      <c r="AJ201" s="178">
        <f t="shared" ca="1" si="63"/>
        <v>0</v>
      </c>
    </row>
    <row r="202" spans="2:36" ht="15.75" x14ac:dyDescent="0.25">
      <c r="B202" s="161"/>
      <c r="C202" s="161"/>
      <c r="D202" s="161"/>
      <c r="E202" s="199"/>
      <c r="F202" s="199"/>
      <c r="G202" s="199"/>
      <c r="H202" s="199"/>
      <c r="I202" s="199"/>
      <c r="J202" s="199"/>
      <c r="K202" s="199"/>
      <c r="L202" s="199"/>
      <c r="M202" s="199"/>
      <c r="N202" s="199"/>
      <c r="O202" s="199"/>
      <c r="P202" s="199"/>
      <c r="Q202" s="199"/>
      <c r="R202" s="199"/>
      <c r="S202" s="199"/>
      <c r="T202" s="199"/>
      <c r="U202" s="199"/>
      <c r="V202" s="199"/>
      <c r="W202" s="199"/>
      <c r="X202" s="199"/>
      <c r="Y202" s="199"/>
      <c r="Z202" s="199"/>
      <c r="AA202" s="199"/>
      <c r="AB202" s="199"/>
      <c r="AC202" s="199"/>
      <c r="AD202" s="199"/>
      <c r="AE202" s="199"/>
      <c r="AF202" s="199"/>
      <c r="AG202" s="199"/>
      <c r="AH202" s="199"/>
      <c r="AI202" s="199"/>
      <c r="AJ202" s="199"/>
    </row>
    <row r="203" spans="2:36" ht="15.75" x14ac:dyDescent="0.25">
      <c r="B203" s="161" t="s">
        <v>159</v>
      </c>
      <c r="C203" s="161"/>
      <c r="D203" s="161"/>
      <c r="E203" s="199"/>
      <c r="F203" s="199"/>
      <c r="G203" s="178">
        <f ca="1">G187+G199+G200</f>
        <v>0</v>
      </c>
      <c r="H203" s="178">
        <f t="shared" ref="H203:AJ203" ca="1" si="64">H187+H199+H200</f>
        <v>0</v>
      </c>
      <c r="I203" s="178">
        <f t="shared" ca="1" si="64"/>
        <v>0</v>
      </c>
      <c r="J203" s="178">
        <f t="shared" ca="1" si="64"/>
        <v>0</v>
      </c>
      <c r="K203" s="178">
        <f t="shared" ca="1" si="64"/>
        <v>0</v>
      </c>
      <c r="L203" s="178">
        <f t="shared" ca="1" si="64"/>
        <v>0</v>
      </c>
      <c r="M203" s="178">
        <f t="shared" ca="1" si="64"/>
        <v>0</v>
      </c>
      <c r="N203" s="178">
        <f t="shared" ca="1" si="64"/>
        <v>277716.33590430842</v>
      </c>
      <c r="O203" s="178">
        <f t="shared" ca="1" si="64"/>
        <v>501745.33694170183</v>
      </c>
      <c r="P203" s="178">
        <f t="shared" ca="1" si="64"/>
        <v>502728.18418245955</v>
      </c>
      <c r="Q203" s="178">
        <f t="shared" ca="1" si="64"/>
        <v>468047.34508425591</v>
      </c>
      <c r="R203" s="178">
        <f t="shared" ca="1" si="64"/>
        <v>538832.55508606392</v>
      </c>
      <c r="S203" s="178">
        <f t="shared" ca="1" si="64"/>
        <v>511067.37237338338</v>
      </c>
      <c r="T203" s="178">
        <f t="shared" ca="1" si="64"/>
        <v>511094.52697836654</v>
      </c>
      <c r="U203" s="178">
        <f t="shared" ca="1" si="64"/>
        <v>543607.58247839718</v>
      </c>
      <c r="V203" s="178">
        <f t="shared" ca="1" si="64"/>
        <v>562351.90649737779</v>
      </c>
      <c r="W203" s="178">
        <f t="shared" ca="1" si="64"/>
        <v>562374.57216609223</v>
      </c>
      <c r="X203" s="178">
        <f t="shared" ca="1" si="64"/>
        <v>585898.37590430421</v>
      </c>
      <c r="Y203" s="178">
        <f t="shared" ca="1" si="64"/>
        <v>585922.07782689994</v>
      </c>
      <c r="Z203" s="178">
        <f t="shared" ca="1" si="64"/>
        <v>61406.409147828235</v>
      </c>
      <c r="AA203" s="178">
        <f t="shared" si="64"/>
        <v>0</v>
      </c>
      <c r="AB203" s="178">
        <f t="shared" si="64"/>
        <v>0</v>
      </c>
      <c r="AC203" s="178">
        <f t="shared" si="64"/>
        <v>0</v>
      </c>
      <c r="AD203" s="178">
        <f t="shared" si="64"/>
        <v>0</v>
      </c>
      <c r="AE203" s="178">
        <f t="shared" si="64"/>
        <v>0</v>
      </c>
      <c r="AF203" s="178">
        <f t="shared" si="64"/>
        <v>0</v>
      </c>
      <c r="AG203" s="178">
        <f t="shared" si="64"/>
        <v>0</v>
      </c>
      <c r="AH203" s="178">
        <f t="shared" si="64"/>
        <v>0</v>
      </c>
      <c r="AI203" s="178">
        <f t="shared" si="64"/>
        <v>0</v>
      </c>
      <c r="AJ203" s="178">
        <f t="shared" si="64"/>
        <v>0</v>
      </c>
    </row>
    <row r="204" spans="2:36" ht="15.75" thickBot="1" x14ac:dyDescent="0.3">
      <c r="B204" s="200"/>
      <c r="C204" s="200"/>
      <c r="D204" s="200"/>
      <c r="E204" s="200"/>
      <c r="F204" s="200"/>
      <c r="G204" s="200"/>
      <c r="H204" s="200"/>
      <c r="I204" s="200"/>
      <c r="J204" s="200"/>
      <c r="K204" s="200"/>
      <c r="L204" s="200"/>
      <c r="M204" s="200"/>
      <c r="N204" s="200"/>
      <c r="O204" s="200"/>
      <c r="P204" s="200"/>
      <c r="Q204" s="200"/>
      <c r="R204" s="200"/>
      <c r="S204" s="200"/>
      <c r="T204" s="200"/>
      <c r="U204" s="200"/>
      <c r="V204" s="200"/>
      <c r="W204" s="200"/>
      <c r="X204" s="200"/>
      <c r="Y204" s="200"/>
      <c r="Z204" s="200"/>
      <c r="AA204" s="200"/>
      <c r="AB204" s="200"/>
      <c r="AC204" s="200"/>
      <c r="AD204" s="200"/>
      <c r="AE204" s="200"/>
      <c r="AF204" s="200"/>
      <c r="AG204" s="200"/>
      <c r="AH204" s="200"/>
      <c r="AI204" s="200"/>
      <c r="AJ204" s="200"/>
    </row>
    <row r="205" spans="2:36" s="1" customFormat="1" ht="15.75" x14ac:dyDescent="0.25">
      <c r="B205" s="161"/>
      <c r="C205" s="161"/>
      <c r="D205" s="161"/>
      <c r="E205" s="161"/>
      <c r="F205" s="161"/>
      <c r="G205" s="183"/>
      <c r="H205" s="184"/>
      <c r="I205" s="161"/>
      <c r="J205" s="161"/>
      <c r="K205" s="161"/>
      <c r="L205" s="161"/>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row>
    <row r="206" spans="2:36" s="1" customFormat="1" ht="15.75" x14ac:dyDescent="0.25">
      <c r="B206" s="160" t="s">
        <v>161</v>
      </c>
      <c r="C206" s="160"/>
      <c r="D206" s="160"/>
      <c r="E206" s="161"/>
      <c r="F206" s="161"/>
      <c r="G206" s="183"/>
      <c r="H206" s="184"/>
      <c r="I206" s="161"/>
      <c r="J206" s="161"/>
      <c r="K206" s="161"/>
      <c r="L206" s="161"/>
      <c r="M206" s="161"/>
      <c r="N206" s="161"/>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row>
    <row r="207" spans="2:36" s="1" customFormat="1" x14ac:dyDescent="0.2">
      <c r="B207" s="161" t="s">
        <v>162</v>
      </c>
      <c r="C207" s="161"/>
      <c r="D207" s="161"/>
      <c r="E207" s="161"/>
      <c r="F207" s="161"/>
      <c r="G207" s="223">
        <f>IF(OR('Financial Inputs'!$P$62="No",'Financial Inputs'!$P$14="Performance-Based",'Financial Inputs'!$P$14="Neither"),0,IF(AND('Financial Inputs'!$P$15="ITC",G$2=1),'Financial Inputs'!$P$18,IF(G$2&gt;1,0,IF('Financial Inputs'!$P$15="Cash Grant",0,"ERROR"))))</f>
        <v>0</v>
      </c>
      <c r="H207" s="223">
        <f>IF(OR('Financial Inputs'!$P$62="No",'Financial Inputs'!$P$14="Performance-Based",'Financial Inputs'!$P$14="Neither"),0,IF(AND('Financial Inputs'!$P$15="ITC",H$2=1),'Financial Inputs'!$P$18,IF(H$2&gt;1,0,IF('Financial Inputs'!$P$15="Cash Grant",0,"ERROR"))))</f>
        <v>0</v>
      </c>
      <c r="I207" s="223">
        <f>IF(OR('Financial Inputs'!$P$62="No",'Financial Inputs'!$P$14="Performance-Based",'Financial Inputs'!$P$14="Neither"),0,IF(AND('Financial Inputs'!$P$15="ITC",I$2=1),'Financial Inputs'!$P$18,IF(I$2&gt;1,0,IF('Financial Inputs'!$P$15="Cash Grant",0,"ERROR"))))</f>
        <v>0</v>
      </c>
      <c r="J207" s="223">
        <f>IF(OR('Financial Inputs'!$P$62="No",'Financial Inputs'!$P$14="Performance-Based",'Financial Inputs'!$P$14="Neither"),0,IF(AND('Financial Inputs'!$P$15="ITC",J$2=1),'Financial Inputs'!$P$18,IF(J$2&gt;1,0,IF('Financial Inputs'!$P$15="Cash Grant",0,"ERROR"))))</f>
        <v>0</v>
      </c>
      <c r="K207" s="223">
        <f>IF(OR('Financial Inputs'!$P$62="No",'Financial Inputs'!$P$14="Performance-Based",'Financial Inputs'!$P$14="Neither"),0,IF(AND('Financial Inputs'!$P$15="ITC",K$2=1),'Financial Inputs'!$P$18,IF(K$2&gt;1,0,IF('Financial Inputs'!$P$15="Cash Grant",0,"ERROR"))))</f>
        <v>0</v>
      </c>
      <c r="L207" s="223">
        <f>IF(OR('Financial Inputs'!$P$62="No",'Financial Inputs'!$P$14="Performance-Based",'Financial Inputs'!$P$14="Neither"),0,IF(AND('Financial Inputs'!$P$15="ITC",L$2=1),'Financial Inputs'!$P$18,IF(L$2&gt;1,0,IF('Financial Inputs'!$P$15="Cash Grant",0,"ERROR"))))</f>
        <v>0</v>
      </c>
      <c r="M207" s="223">
        <f>IF(OR('Financial Inputs'!$P$62="No",'Financial Inputs'!$P$14="Performance-Based",'Financial Inputs'!$P$14="Neither"),0,IF(AND('Financial Inputs'!$P$15="ITC",M$2=1),'Financial Inputs'!$P$18,IF(M$2&gt;1,0,IF('Financial Inputs'!$P$15="Cash Grant",0,"ERROR"))))</f>
        <v>0</v>
      </c>
      <c r="N207" s="223">
        <f>IF(OR('Financial Inputs'!$P$62="No",'Financial Inputs'!$P$14="Performance-Based",'Financial Inputs'!$P$14="Neither"),0,IF(AND('Financial Inputs'!$P$15="ITC",N$2=1),'Financial Inputs'!$P$18,IF(N$2&gt;1,0,IF('Financial Inputs'!$P$15="Cash Grant",0,"ERROR"))))</f>
        <v>0</v>
      </c>
      <c r="O207" s="223">
        <f>IF(OR('Financial Inputs'!$P$62="No",'Financial Inputs'!$P$14="Performance-Based",'Financial Inputs'!$P$14="Neither"),0,IF(AND('Financial Inputs'!$P$15="ITC",O$2=1),'Financial Inputs'!$P$18,IF(O$2&gt;1,0,IF('Financial Inputs'!$P$15="Cash Grant",0,"ERROR"))))</f>
        <v>0</v>
      </c>
      <c r="P207" s="223">
        <f>IF(OR('Financial Inputs'!$P$62="No",'Financial Inputs'!$P$14="Performance-Based",'Financial Inputs'!$P$14="Neither"),0,IF(AND('Financial Inputs'!$P$15="ITC",P$2=1),'Financial Inputs'!$P$18,IF(P$2&gt;1,0,IF('Financial Inputs'!$P$15="Cash Grant",0,"ERROR"))))</f>
        <v>0</v>
      </c>
      <c r="Q207" s="223">
        <f>IF(OR('Financial Inputs'!$P$62="No",'Financial Inputs'!$P$14="Performance-Based",'Financial Inputs'!$P$14="Neither"),0,IF(AND('Financial Inputs'!$P$15="ITC",Q$2=1),'Financial Inputs'!$P$18,IF(Q$2&gt;1,0,IF('Financial Inputs'!$P$15="Cash Grant",0,"ERROR"))))</f>
        <v>0</v>
      </c>
      <c r="R207" s="223">
        <f>IF(OR('Financial Inputs'!$P$62="No",'Financial Inputs'!$P$14="Performance-Based",'Financial Inputs'!$P$14="Neither"),0,IF(AND('Financial Inputs'!$P$15="ITC",R$2=1),'Financial Inputs'!$P$18,IF(R$2&gt;1,0,IF('Financial Inputs'!$P$15="Cash Grant",0,"ERROR"))))</f>
        <v>0</v>
      </c>
      <c r="S207" s="223">
        <f>IF(OR('Financial Inputs'!$P$62="No",'Financial Inputs'!$P$14="Performance-Based",'Financial Inputs'!$P$14="Neither"),0,IF(AND('Financial Inputs'!$P$15="ITC",S$2=1),'Financial Inputs'!$P$18,IF(S$2&gt;1,0,IF('Financial Inputs'!$P$15="Cash Grant",0,"ERROR"))))</f>
        <v>0</v>
      </c>
      <c r="T207" s="223">
        <f>IF(OR('Financial Inputs'!$P$62="No",'Financial Inputs'!$P$14="Performance-Based",'Financial Inputs'!$P$14="Neither"),0,IF(AND('Financial Inputs'!$P$15="ITC",T$2=1),'Financial Inputs'!$P$18,IF(T$2&gt;1,0,IF('Financial Inputs'!$P$15="Cash Grant",0,"ERROR"))))</f>
        <v>0</v>
      </c>
      <c r="U207" s="223">
        <f>IF(OR('Financial Inputs'!$P$62="No",'Financial Inputs'!$P$14="Performance-Based",'Financial Inputs'!$P$14="Neither"),0,IF(AND('Financial Inputs'!$P$15="ITC",U$2=1),'Financial Inputs'!$P$18,IF(U$2&gt;1,0,IF('Financial Inputs'!$P$15="Cash Grant",0,"ERROR"))))</f>
        <v>0</v>
      </c>
      <c r="V207" s="223">
        <f>IF(OR('Financial Inputs'!$P$62="No",'Financial Inputs'!$P$14="Performance-Based",'Financial Inputs'!$P$14="Neither"),0,IF(AND('Financial Inputs'!$P$15="ITC",V$2=1),'Financial Inputs'!$P$18,IF(V$2&gt;1,0,IF('Financial Inputs'!$P$15="Cash Grant",0,"ERROR"))))</f>
        <v>0</v>
      </c>
      <c r="W207" s="223">
        <f>IF(OR('Financial Inputs'!$P$62="No",'Financial Inputs'!$P$14="Performance-Based",'Financial Inputs'!$P$14="Neither"),0,IF(AND('Financial Inputs'!$P$15="ITC",W$2=1),'Financial Inputs'!$P$18,IF(W$2&gt;1,0,IF('Financial Inputs'!$P$15="Cash Grant",0,"ERROR"))))</f>
        <v>0</v>
      </c>
      <c r="X207" s="223">
        <f>IF(OR('Financial Inputs'!$P$62="No",'Financial Inputs'!$P$14="Performance-Based",'Financial Inputs'!$P$14="Neither"),0,IF(AND('Financial Inputs'!$P$15="ITC",X$2=1),'Financial Inputs'!$P$18,IF(X$2&gt;1,0,IF('Financial Inputs'!$P$15="Cash Grant",0,"ERROR"))))</f>
        <v>0</v>
      </c>
      <c r="Y207" s="223">
        <f>IF(OR('Financial Inputs'!$P$62="No",'Financial Inputs'!$P$14="Performance-Based",'Financial Inputs'!$P$14="Neither"),0,IF(AND('Financial Inputs'!$P$15="ITC",Y$2=1),'Financial Inputs'!$P$18,IF(Y$2&gt;1,0,IF('Financial Inputs'!$P$15="Cash Grant",0,"ERROR"))))</f>
        <v>0</v>
      </c>
      <c r="Z207" s="223">
        <f>IF(OR('Financial Inputs'!$P$62="No",'Financial Inputs'!$P$14="Performance-Based",'Financial Inputs'!$P$14="Neither"),0,IF(AND('Financial Inputs'!$P$15="ITC",Z$2=1),'Financial Inputs'!$P$18,IF(Z$2&gt;1,0,IF('Financial Inputs'!$P$15="Cash Grant",0,"ERROR"))))</f>
        <v>0</v>
      </c>
      <c r="AA207" s="223">
        <f>IF(OR('Financial Inputs'!$P$62="No",'Financial Inputs'!$P$14="Performance-Based",'Financial Inputs'!$P$14="Neither"),0,IF(AND('Financial Inputs'!$P$15="ITC",AA$2=1),'Financial Inputs'!$P$18,IF(AA$2&gt;1,0,IF('Financial Inputs'!$P$15="Cash Grant",0,"ERROR"))))</f>
        <v>0</v>
      </c>
      <c r="AB207" s="223">
        <f>IF(OR('Financial Inputs'!$P$62="No",'Financial Inputs'!$P$14="Performance-Based",'Financial Inputs'!$P$14="Neither"),0,IF(AND('Financial Inputs'!$P$15="ITC",AB$2=1),'Financial Inputs'!$P$18,IF(AB$2&gt;1,0,IF('Financial Inputs'!$P$15="Cash Grant",0,"ERROR"))))</f>
        <v>0</v>
      </c>
      <c r="AC207" s="223">
        <f>IF(OR('Financial Inputs'!$P$62="No",'Financial Inputs'!$P$14="Performance-Based",'Financial Inputs'!$P$14="Neither"),0,IF(AND('Financial Inputs'!$P$15="ITC",AC$2=1),'Financial Inputs'!$P$18,IF(AC$2&gt;1,0,IF('Financial Inputs'!$P$15="Cash Grant",0,"ERROR"))))</f>
        <v>0</v>
      </c>
      <c r="AD207" s="223">
        <f>IF(OR('Financial Inputs'!$P$62="No",'Financial Inputs'!$P$14="Performance-Based",'Financial Inputs'!$P$14="Neither"),0,IF(AND('Financial Inputs'!$P$15="ITC",AD$2=1),'Financial Inputs'!$P$18,IF(AD$2&gt;1,0,IF('Financial Inputs'!$P$15="Cash Grant",0,"ERROR"))))</f>
        <v>0</v>
      </c>
      <c r="AE207" s="223">
        <f>IF(OR('Financial Inputs'!$P$62="No",'Financial Inputs'!$P$14="Performance-Based",'Financial Inputs'!$P$14="Neither"),0,IF(AND('Financial Inputs'!$P$15="ITC",AE$2=1),'Financial Inputs'!$P$18,IF(AE$2&gt;1,0,IF('Financial Inputs'!$P$15="Cash Grant",0,"ERROR"))))</f>
        <v>0</v>
      </c>
      <c r="AF207" s="223">
        <f>IF(OR('Financial Inputs'!$P$62="No",'Financial Inputs'!$P$14="Performance-Based",'Financial Inputs'!$P$14="Neither"),0,IF(AND('Financial Inputs'!$P$15="ITC",AF$2=1),'Financial Inputs'!$P$18,IF(AF$2&gt;1,0,IF('Financial Inputs'!$P$15="Cash Grant",0,"ERROR"))))</f>
        <v>0</v>
      </c>
      <c r="AG207" s="223">
        <f>IF(OR('Financial Inputs'!$P$62="No",'Financial Inputs'!$P$14="Performance-Based",'Financial Inputs'!$P$14="Neither"),0,IF(AND('Financial Inputs'!$P$15="ITC",AG$2=1),'Financial Inputs'!$P$18,IF(AG$2&gt;1,0,IF('Financial Inputs'!$P$15="Cash Grant",0,"ERROR"))))</f>
        <v>0</v>
      </c>
      <c r="AH207" s="223">
        <f>IF(OR('Financial Inputs'!$P$62="No",'Financial Inputs'!$P$14="Performance-Based",'Financial Inputs'!$P$14="Neither"),0,IF(AND('Financial Inputs'!$P$15="ITC",AH$2=1),'Financial Inputs'!$P$18,IF(AH$2&gt;1,0,IF('Financial Inputs'!$P$15="Cash Grant",0,"ERROR"))))</f>
        <v>0</v>
      </c>
      <c r="AI207" s="223">
        <f>IF(OR('Financial Inputs'!$P$62="No",'Financial Inputs'!$P$14="Performance-Based",'Financial Inputs'!$P$14="Neither"),0,IF(AND('Financial Inputs'!$P$15="ITC",AI$2=1),'Financial Inputs'!$P$18,IF(AI$2&gt;1,0,IF('Financial Inputs'!$P$15="Cash Grant",0,"ERROR"))))</f>
        <v>0</v>
      </c>
      <c r="AJ207" s="223">
        <f>IF(OR('Financial Inputs'!$P$62="No",'Financial Inputs'!$P$14="Performance-Based",'Financial Inputs'!$P$14="Neither"),0,IF(AND('Financial Inputs'!$P$15="ITC",AJ$2=1),'Financial Inputs'!$P$18,IF(AJ$2&gt;1,0,IF('Financial Inputs'!$P$15="Cash Grant",0,"ERROR"))))</f>
        <v>0</v>
      </c>
    </row>
    <row r="208" spans="2:36" s="1" customFormat="1" x14ac:dyDescent="0.2">
      <c r="B208" s="161" t="s">
        <v>140</v>
      </c>
      <c r="C208" s="161"/>
      <c r="D208" s="161"/>
      <c r="E208" s="161"/>
      <c r="F208" s="161"/>
      <c r="G208" s="178">
        <f>IF(OR('Financial Inputs'!$P$62="No",'Financial Inputs'!$P$14="Cost-Based",'Financial Inputs'!$P$14="Neither"),0,IF(G$2&gt;'Financial Inputs'!$P$21,0,'Financial Inputs'!$P$20/100*G$9*G$4*(1-MIN('Financial Inputs'!$P$28/'Financial Inputs'!$G$41,50%))))</f>
        <v>32286.903498102605</v>
      </c>
      <c r="H208" s="178">
        <f>IF(OR('Financial Inputs'!$P$62="No",'Financial Inputs'!$P$14="Cost-Based",'Financial Inputs'!$P$14="Neither"),0,IF(H$2&gt;'Financial Inputs'!$P$21,0,'Financial Inputs'!$P$20/100*H$9*H$4*(1-MIN('Financial Inputs'!$P$28/'Financial Inputs'!$G$41,50%))))</f>
        <v>32932.641568064653</v>
      </c>
      <c r="I208" s="178">
        <f>IF(OR('Financial Inputs'!$P$62="No",'Financial Inputs'!$P$14="Cost-Based",'Financial Inputs'!$P$14="Neither"),0,IF(I$2&gt;'Financial Inputs'!$P$21,0,'Financial Inputs'!$P$20/100*I$9*I$4*(1-MIN('Financial Inputs'!$P$28/'Financial Inputs'!$G$41,50%))))</f>
        <v>33591.294399425948</v>
      </c>
      <c r="J208" s="178">
        <f>IF(OR('Financial Inputs'!$P$62="No",'Financial Inputs'!$P$14="Cost-Based",'Financial Inputs'!$P$14="Neither"),0,IF(J$2&gt;'Financial Inputs'!$P$21,0,'Financial Inputs'!$P$20/100*J$9*J$4*(1-MIN('Financial Inputs'!$P$28/'Financial Inputs'!$G$41,50%))))</f>
        <v>34263.120287414466</v>
      </c>
      <c r="K208" s="178">
        <f>IF(OR('Financial Inputs'!$P$62="No",'Financial Inputs'!$P$14="Cost-Based",'Financial Inputs'!$P$14="Neither"),0,IF(K$2&gt;'Financial Inputs'!$P$21,0,'Financial Inputs'!$P$20/100*K$9*K$4*(1-MIN('Financial Inputs'!$P$28/'Financial Inputs'!$G$41,50%))))</f>
        <v>34948.382693162755</v>
      </c>
      <c r="L208" s="178">
        <f>IF(OR('Financial Inputs'!$P$62="No",'Financial Inputs'!$P$14="Cost-Based",'Financial Inputs'!$P$14="Neither"),0,IF(L$2&gt;'Financial Inputs'!$P$21,0,'Financial Inputs'!$P$20/100*L$9*L$4*(1-MIN('Financial Inputs'!$P$28/'Financial Inputs'!$G$41,50%))))</f>
        <v>35647.350347026018</v>
      </c>
      <c r="M208" s="178">
        <f>IF(OR('Financial Inputs'!$P$62="No",'Financial Inputs'!$P$14="Cost-Based",'Financial Inputs'!$P$14="Neither"),0,IF(M$2&gt;'Financial Inputs'!$P$21,0,'Financial Inputs'!$P$20/100*M$9*M$4*(1-MIN('Financial Inputs'!$P$28/'Financial Inputs'!$G$41,50%))))</f>
        <v>36360.297353966533</v>
      </c>
      <c r="N208" s="178">
        <f>IF(OR('Financial Inputs'!$P$62="No",'Financial Inputs'!$P$14="Cost-Based",'Financial Inputs'!$P$14="Neither"),0,IF(N$2&gt;'Financial Inputs'!$P$21,0,'Financial Inputs'!$P$20/100*N$9*N$4*(1-MIN('Financial Inputs'!$P$28/'Financial Inputs'!$G$41,50%))))</f>
        <v>37087.503301045865</v>
      </c>
      <c r="O208" s="178">
        <f>IF(OR('Financial Inputs'!$P$62="No",'Financial Inputs'!$P$14="Cost-Based",'Financial Inputs'!$P$14="Neither"),0,IF(O$2&gt;'Financial Inputs'!$P$21,0,'Financial Inputs'!$P$20/100*O$9*O$4*(1-MIN('Financial Inputs'!$P$28/'Financial Inputs'!$G$41,50%))))</f>
        <v>37829.253367066791</v>
      </c>
      <c r="P208" s="178">
        <f>IF(OR('Financial Inputs'!$P$62="No",'Financial Inputs'!$P$14="Cost-Based",'Financial Inputs'!$P$14="Neither"),0,IF(P$2&gt;'Financial Inputs'!$P$21,0,'Financial Inputs'!$P$20/100*P$9*P$4*(1-MIN('Financial Inputs'!$P$28/'Financial Inputs'!$G$41,50%))))</f>
        <v>38585.838434408121</v>
      </c>
      <c r="Q208" s="178">
        <f>IF(OR('Financial Inputs'!$P$62="No",'Financial Inputs'!$P$14="Cost-Based",'Financial Inputs'!$P$14="Neither"),0,IF(Q$2&gt;'Financial Inputs'!$P$21,0,'Financial Inputs'!$P$20/100*Q$9*Q$4*(1-MIN('Financial Inputs'!$P$28/'Financial Inputs'!$G$41,50%))))</f>
        <v>0</v>
      </c>
      <c r="R208" s="178">
        <f>IF(OR('Financial Inputs'!$P$62="No",'Financial Inputs'!$P$14="Cost-Based",'Financial Inputs'!$P$14="Neither"),0,IF(R$2&gt;'Financial Inputs'!$P$21,0,'Financial Inputs'!$P$20/100*R$9*R$4*(1-MIN('Financial Inputs'!$P$28/'Financial Inputs'!$G$41,50%))))</f>
        <v>0</v>
      </c>
      <c r="S208" s="178">
        <f>IF(OR('Financial Inputs'!$P$62="No",'Financial Inputs'!$P$14="Cost-Based",'Financial Inputs'!$P$14="Neither"),0,IF(S$2&gt;'Financial Inputs'!$P$21,0,'Financial Inputs'!$P$20/100*S$9*S$4*(1-MIN('Financial Inputs'!$P$28/'Financial Inputs'!$G$41,50%))))</f>
        <v>0</v>
      </c>
      <c r="T208" s="178">
        <f>IF(OR('Financial Inputs'!$P$62="No",'Financial Inputs'!$P$14="Cost-Based",'Financial Inputs'!$P$14="Neither"),0,IF(T$2&gt;'Financial Inputs'!$P$21,0,'Financial Inputs'!$P$20/100*T$9*T$4*(1-MIN('Financial Inputs'!$P$28/'Financial Inputs'!$G$41,50%))))</f>
        <v>0</v>
      </c>
      <c r="U208" s="178">
        <f>IF(OR('Financial Inputs'!$P$62="No",'Financial Inputs'!$P$14="Cost-Based",'Financial Inputs'!$P$14="Neither"),0,IF(U$2&gt;'Financial Inputs'!$P$21,0,'Financial Inputs'!$P$20/100*U$9*U$4*(1-MIN('Financial Inputs'!$P$28/'Financial Inputs'!$G$41,50%))))</f>
        <v>0</v>
      </c>
      <c r="V208" s="178">
        <f>IF(OR('Financial Inputs'!$P$62="No",'Financial Inputs'!$P$14="Cost-Based",'Financial Inputs'!$P$14="Neither"),0,IF(V$2&gt;'Financial Inputs'!$P$21,0,'Financial Inputs'!$P$20/100*V$9*V$4*(1-MIN('Financial Inputs'!$P$28/'Financial Inputs'!$G$41,50%))))</f>
        <v>0</v>
      </c>
      <c r="W208" s="178">
        <f>IF(OR('Financial Inputs'!$P$62="No",'Financial Inputs'!$P$14="Cost-Based",'Financial Inputs'!$P$14="Neither"),0,IF(W$2&gt;'Financial Inputs'!$P$21,0,'Financial Inputs'!$P$20/100*W$9*W$4*(1-MIN('Financial Inputs'!$P$28/'Financial Inputs'!$G$41,50%))))</f>
        <v>0</v>
      </c>
      <c r="X208" s="178">
        <f>IF(OR('Financial Inputs'!$P$62="No",'Financial Inputs'!$P$14="Cost-Based",'Financial Inputs'!$P$14="Neither"),0,IF(X$2&gt;'Financial Inputs'!$P$21,0,'Financial Inputs'!$P$20/100*X$9*X$4*(1-MIN('Financial Inputs'!$P$28/'Financial Inputs'!$G$41,50%))))</f>
        <v>0</v>
      </c>
      <c r="Y208" s="178">
        <f>IF(OR('Financial Inputs'!$P$62="No",'Financial Inputs'!$P$14="Cost-Based",'Financial Inputs'!$P$14="Neither"),0,IF(Y$2&gt;'Financial Inputs'!$P$21,0,'Financial Inputs'!$P$20/100*Y$9*Y$4*(1-MIN('Financial Inputs'!$P$28/'Financial Inputs'!$G$41,50%))))</f>
        <v>0</v>
      </c>
      <c r="Z208" s="178">
        <f>IF(OR('Financial Inputs'!$P$62="No",'Financial Inputs'!$P$14="Cost-Based",'Financial Inputs'!$P$14="Neither"),0,IF(Z$2&gt;'Financial Inputs'!$P$21,0,'Financial Inputs'!$P$20/100*Z$9*Z$4*(1-MIN('Financial Inputs'!$P$28/'Financial Inputs'!$G$41,50%))))</f>
        <v>0</v>
      </c>
      <c r="AA208" s="178">
        <f>IF(OR('Financial Inputs'!$P$62="No",'Financial Inputs'!$P$14="Cost-Based",'Financial Inputs'!$P$14="Neither"),0,IF(AA$2&gt;'Financial Inputs'!$P$21,0,'Financial Inputs'!$P$20/100*AA$9*AA$4*(1-MIN('Financial Inputs'!$P$28/'Financial Inputs'!$G$41,50%))))</f>
        <v>0</v>
      </c>
      <c r="AB208" s="178">
        <f>IF(OR('Financial Inputs'!$P$62="No",'Financial Inputs'!$P$14="Cost-Based",'Financial Inputs'!$P$14="Neither"),0,IF(AB$2&gt;'Financial Inputs'!$P$21,0,'Financial Inputs'!$P$20/100*AB$9*AB$4*(1-MIN('Financial Inputs'!$P$28/'Financial Inputs'!$G$41,50%))))</f>
        <v>0</v>
      </c>
      <c r="AC208" s="178">
        <f>IF(OR('Financial Inputs'!$P$62="No",'Financial Inputs'!$P$14="Cost-Based",'Financial Inputs'!$P$14="Neither"),0,IF(AC$2&gt;'Financial Inputs'!$P$21,0,'Financial Inputs'!$P$20/100*AC$9*AC$4*(1-MIN('Financial Inputs'!$P$28/'Financial Inputs'!$G$41,50%))))</f>
        <v>0</v>
      </c>
      <c r="AD208" s="178">
        <f>IF(OR('Financial Inputs'!$P$62="No",'Financial Inputs'!$P$14="Cost-Based",'Financial Inputs'!$P$14="Neither"),0,IF(AD$2&gt;'Financial Inputs'!$P$21,0,'Financial Inputs'!$P$20/100*AD$9*AD$4*(1-MIN('Financial Inputs'!$P$28/'Financial Inputs'!$G$41,50%))))</f>
        <v>0</v>
      </c>
      <c r="AE208" s="178">
        <f>IF(OR('Financial Inputs'!$P$62="No",'Financial Inputs'!$P$14="Cost-Based",'Financial Inputs'!$P$14="Neither"),0,IF(AE$2&gt;'Financial Inputs'!$P$21,0,'Financial Inputs'!$P$20/100*AE$9*AE$4*(1-MIN('Financial Inputs'!$P$28/'Financial Inputs'!$G$41,50%))))</f>
        <v>0</v>
      </c>
      <c r="AF208" s="178">
        <f>IF(OR('Financial Inputs'!$P$62="No",'Financial Inputs'!$P$14="Cost-Based",'Financial Inputs'!$P$14="Neither"),0,IF(AF$2&gt;'Financial Inputs'!$P$21,0,'Financial Inputs'!$P$20/100*AF$9*AF$4*(1-MIN('Financial Inputs'!$P$28/'Financial Inputs'!$G$41,50%))))</f>
        <v>0</v>
      </c>
      <c r="AG208" s="178">
        <f>IF(OR('Financial Inputs'!$P$62="No",'Financial Inputs'!$P$14="Cost-Based",'Financial Inputs'!$P$14="Neither"),0,IF(AG$2&gt;'Financial Inputs'!$P$21,0,'Financial Inputs'!$P$20/100*AG$9*AG$4*(1-MIN('Financial Inputs'!$P$28/'Financial Inputs'!$G$41,50%))))</f>
        <v>0</v>
      </c>
      <c r="AH208" s="178">
        <f>IF(OR('Financial Inputs'!$P$62="No",'Financial Inputs'!$P$14="Cost-Based",'Financial Inputs'!$P$14="Neither"),0,IF(AH$2&gt;'Financial Inputs'!$P$21,0,'Financial Inputs'!$P$20/100*AH$9*AH$4*(1-MIN('Financial Inputs'!$P$28/'Financial Inputs'!$G$41,50%))))</f>
        <v>0</v>
      </c>
      <c r="AI208" s="178">
        <f>IF(OR('Financial Inputs'!$P$62="No",'Financial Inputs'!$P$14="Cost-Based",'Financial Inputs'!$P$14="Neither"),0,IF(AI$2&gt;'Financial Inputs'!$P$21,0,'Financial Inputs'!$P$20/100*AI$9*AI$4*(1-MIN('Financial Inputs'!$P$28/'Financial Inputs'!$G$41,50%))))</f>
        <v>0</v>
      </c>
      <c r="AJ208" s="178">
        <f>IF(OR('Financial Inputs'!$P$62="No",'Financial Inputs'!$P$14="Cost-Based",'Financial Inputs'!$P$14="Neither"),0,IF(AJ$2&gt;'Financial Inputs'!$P$21,0,'Financial Inputs'!$P$20/100*AJ$9*AJ$4*(1-MIN('Financial Inputs'!$P$28/'Financial Inputs'!$G$41,50%))))</f>
        <v>0</v>
      </c>
    </row>
    <row r="209" spans="2:36" s="1" customFormat="1" x14ac:dyDescent="0.2">
      <c r="B209" s="161"/>
      <c r="C209" s="161"/>
      <c r="D209" s="161"/>
      <c r="E209" s="161"/>
      <c r="F209" s="161"/>
      <c r="G209" s="178"/>
      <c r="H209" s="178"/>
      <c r="I209" s="178"/>
      <c r="J209" s="178"/>
      <c r="K209" s="178"/>
      <c r="L209" s="178"/>
      <c r="M209" s="178"/>
      <c r="N209" s="178"/>
      <c r="O209" s="178"/>
      <c r="P209" s="178"/>
      <c r="Q209" s="178"/>
      <c r="R209" s="178"/>
      <c r="S209" s="178"/>
      <c r="T209" s="178"/>
      <c r="U209" s="178"/>
      <c r="V209" s="178"/>
      <c r="W209" s="178"/>
      <c r="X209" s="178"/>
      <c r="Y209" s="178"/>
      <c r="Z209" s="178"/>
      <c r="AA209" s="178"/>
      <c r="AB209" s="178"/>
      <c r="AC209" s="178"/>
      <c r="AD209" s="178"/>
      <c r="AE209" s="178"/>
      <c r="AF209" s="178"/>
      <c r="AG209" s="178"/>
      <c r="AH209" s="178"/>
      <c r="AI209" s="178"/>
      <c r="AJ209" s="178"/>
    </row>
    <row r="210" spans="2:36" s="1" customFormat="1" x14ac:dyDescent="0.2">
      <c r="B210" s="161" t="s">
        <v>164</v>
      </c>
      <c r="C210" s="161"/>
      <c r="D210" s="161"/>
      <c r="E210" s="161"/>
      <c r="F210" s="161"/>
      <c r="G210" s="178">
        <f>SUM(G207:G208)</f>
        <v>32286.903498102605</v>
      </c>
      <c r="H210" s="178">
        <f t="shared" ref="H210:AJ210" si="65">SUM(H207:H208)</f>
        <v>32932.641568064653</v>
      </c>
      <c r="I210" s="178">
        <f t="shared" si="65"/>
        <v>33591.294399425948</v>
      </c>
      <c r="J210" s="178">
        <f t="shared" si="65"/>
        <v>34263.120287414466</v>
      </c>
      <c r="K210" s="178">
        <f t="shared" si="65"/>
        <v>34948.382693162755</v>
      </c>
      <c r="L210" s="178">
        <f t="shared" si="65"/>
        <v>35647.350347026018</v>
      </c>
      <c r="M210" s="178">
        <f t="shared" si="65"/>
        <v>36360.297353966533</v>
      </c>
      <c r="N210" s="178">
        <f t="shared" si="65"/>
        <v>37087.503301045865</v>
      </c>
      <c r="O210" s="178">
        <f t="shared" si="65"/>
        <v>37829.253367066791</v>
      </c>
      <c r="P210" s="178">
        <f t="shared" si="65"/>
        <v>38585.838434408121</v>
      </c>
      <c r="Q210" s="178">
        <f t="shared" si="65"/>
        <v>0</v>
      </c>
      <c r="R210" s="178">
        <f t="shared" si="65"/>
        <v>0</v>
      </c>
      <c r="S210" s="178">
        <f t="shared" si="65"/>
        <v>0</v>
      </c>
      <c r="T210" s="178">
        <f t="shared" si="65"/>
        <v>0</v>
      </c>
      <c r="U210" s="178">
        <f t="shared" si="65"/>
        <v>0</v>
      </c>
      <c r="V210" s="178">
        <f t="shared" si="65"/>
        <v>0</v>
      </c>
      <c r="W210" s="178">
        <f t="shared" si="65"/>
        <v>0</v>
      </c>
      <c r="X210" s="178">
        <f t="shared" si="65"/>
        <v>0</v>
      </c>
      <c r="Y210" s="178">
        <f t="shared" si="65"/>
        <v>0</v>
      </c>
      <c r="Z210" s="178">
        <f t="shared" si="65"/>
        <v>0</v>
      </c>
      <c r="AA210" s="178">
        <f t="shared" si="65"/>
        <v>0</v>
      </c>
      <c r="AB210" s="178">
        <f t="shared" si="65"/>
        <v>0</v>
      </c>
      <c r="AC210" s="178">
        <f t="shared" si="65"/>
        <v>0</v>
      </c>
      <c r="AD210" s="178">
        <f t="shared" si="65"/>
        <v>0</v>
      </c>
      <c r="AE210" s="178">
        <f t="shared" si="65"/>
        <v>0</v>
      </c>
      <c r="AF210" s="178">
        <f t="shared" si="65"/>
        <v>0</v>
      </c>
      <c r="AG210" s="178">
        <f t="shared" si="65"/>
        <v>0</v>
      </c>
      <c r="AH210" s="178">
        <f t="shared" si="65"/>
        <v>0</v>
      </c>
      <c r="AI210" s="178">
        <f t="shared" si="65"/>
        <v>0</v>
      </c>
      <c r="AJ210" s="178">
        <f t="shared" si="65"/>
        <v>0</v>
      </c>
    </row>
    <row r="211" spans="2:36" s="1" customFormat="1" x14ac:dyDescent="0.2">
      <c r="B211" s="161"/>
      <c r="C211" s="161"/>
      <c r="D211" s="161"/>
      <c r="E211" s="161"/>
      <c r="F211" s="161"/>
      <c r="G211" s="178"/>
      <c r="H211" s="178"/>
      <c r="I211" s="178"/>
      <c r="J211" s="178"/>
      <c r="K211" s="178"/>
      <c r="L211" s="178"/>
      <c r="M211" s="178"/>
      <c r="N211" s="178"/>
      <c r="O211" s="178"/>
      <c r="P211" s="178"/>
      <c r="Q211" s="178"/>
      <c r="R211" s="178"/>
      <c r="S211" s="178"/>
      <c r="T211" s="178"/>
      <c r="U211" s="178"/>
      <c r="V211" s="178"/>
      <c r="W211" s="178"/>
      <c r="X211" s="178"/>
      <c r="Y211" s="178"/>
      <c r="Z211" s="178"/>
      <c r="AA211" s="178"/>
      <c r="AB211" s="178"/>
      <c r="AC211" s="178"/>
      <c r="AD211" s="178"/>
      <c r="AE211" s="178"/>
      <c r="AF211" s="178"/>
      <c r="AG211" s="178"/>
      <c r="AH211" s="178"/>
      <c r="AI211" s="178"/>
      <c r="AJ211" s="178"/>
    </row>
    <row r="212" spans="2:36" s="1" customFormat="1" x14ac:dyDescent="0.2">
      <c r="B212" s="224" t="s">
        <v>165</v>
      </c>
      <c r="C212" s="224"/>
      <c r="D212" s="224"/>
      <c r="E212" s="161"/>
      <c r="F212" s="161"/>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178"/>
      <c r="AD212" s="178"/>
      <c r="AE212" s="178"/>
      <c r="AF212" s="178"/>
      <c r="AG212" s="178"/>
      <c r="AH212" s="178"/>
      <c r="AI212" s="178"/>
      <c r="AJ212" s="178"/>
    </row>
    <row r="213" spans="2:36" s="1" customFormat="1" x14ac:dyDescent="0.2">
      <c r="B213" s="161" t="str">
        <f>B62</f>
        <v>Federal Income Taxes Saved / (Paid), before ITC/PTC</v>
      </c>
      <c r="C213" s="161"/>
      <c r="D213" s="161"/>
      <c r="E213" s="161"/>
      <c r="F213" s="161"/>
      <c r="G213" s="178" t="str">
        <f>IF('Financial Inputs'!$P$64="as generated","N/A",'Detailed Cash Flow'!G62)</f>
        <v>N/A</v>
      </c>
      <c r="H213" s="178" t="str">
        <f>IF('Financial Inputs'!$P$64="as generated","N/A",'Detailed Cash Flow'!H62)</f>
        <v>N/A</v>
      </c>
      <c r="I213" s="178" t="str">
        <f>IF('Financial Inputs'!$P$64="as generated","N/A",'Detailed Cash Flow'!I62)</f>
        <v>N/A</v>
      </c>
      <c r="J213" s="178" t="str">
        <f>IF('Financial Inputs'!$P$64="as generated","N/A",'Detailed Cash Flow'!J62)</f>
        <v>N/A</v>
      </c>
      <c r="K213" s="178" t="str">
        <f>IF('Financial Inputs'!$P$64="as generated","N/A",'Detailed Cash Flow'!K62)</f>
        <v>N/A</v>
      </c>
      <c r="L213" s="178" t="str">
        <f>IF('Financial Inputs'!$P$64="as generated","N/A",'Detailed Cash Flow'!L62)</f>
        <v>N/A</v>
      </c>
      <c r="M213" s="178" t="str">
        <f>IF('Financial Inputs'!$P$64="as generated","N/A",'Detailed Cash Flow'!M62)</f>
        <v>N/A</v>
      </c>
      <c r="N213" s="178" t="str">
        <f>IF('Financial Inputs'!$P$64="as generated","N/A",'Detailed Cash Flow'!N62)</f>
        <v>N/A</v>
      </c>
      <c r="O213" s="178" t="str">
        <f>IF('Financial Inputs'!$P$64="as generated","N/A",'Detailed Cash Flow'!O62)</f>
        <v>N/A</v>
      </c>
      <c r="P213" s="178" t="str">
        <f>IF('Financial Inputs'!$P$64="as generated","N/A",'Detailed Cash Flow'!P62)</f>
        <v>N/A</v>
      </c>
      <c r="Q213" s="178" t="str">
        <f>IF('Financial Inputs'!$P$64="as generated","N/A",'Detailed Cash Flow'!Q62)</f>
        <v>N/A</v>
      </c>
      <c r="R213" s="178" t="str">
        <f>IF('Financial Inputs'!$P$64="as generated","N/A",'Detailed Cash Flow'!R62)</f>
        <v>N/A</v>
      </c>
      <c r="S213" s="178" t="str">
        <f>IF('Financial Inputs'!$P$64="as generated","N/A",'Detailed Cash Flow'!S62)</f>
        <v>N/A</v>
      </c>
      <c r="T213" s="178" t="str">
        <f>IF('Financial Inputs'!$P$64="as generated","N/A",'Detailed Cash Flow'!T62)</f>
        <v>N/A</v>
      </c>
      <c r="U213" s="178" t="str">
        <f>IF('Financial Inputs'!$P$64="as generated","N/A",'Detailed Cash Flow'!U62)</f>
        <v>N/A</v>
      </c>
      <c r="V213" s="178" t="str">
        <f>IF('Financial Inputs'!$P$64="as generated","N/A",'Detailed Cash Flow'!V62)</f>
        <v>N/A</v>
      </c>
      <c r="W213" s="178" t="str">
        <f>IF('Financial Inputs'!$P$64="as generated","N/A",'Detailed Cash Flow'!W62)</f>
        <v>N/A</v>
      </c>
      <c r="X213" s="178" t="str">
        <f>IF('Financial Inputs'!$P$64="as generated","N/A",'Detailed Cash Flow'!X62)</f>
        <v>N/A</v>
      </c>
      <c r="Y213" s="178" t="str">
        <f>IF('Financial Inputs'!$P$64="as generated","N/A",'Detailed Cash Flow'!Y62)</f>
        <v>N/A</v>
      </c>
      <c r="Z213" s="178" t="str">
        <f>IF('Financial Inputs'!$P$64="as generated","N/A",'Detailed Cash Flow'!Z62)</f>
        <v>N/A</v>
      </c>
      <c r="AA213" s="178" t="str">
        <f>IF('Financial Inputs'!$P$64="as generated","N/A",'Detailed Cash Flow'!AA62)</f>
        <v>N/A</v>
      </c>
      <c r="AB213" s="178" t="str">
        <f>IF('Financial Inputs'!$P$64="as generated","N/A",'Detailed Cash Flow'!AB62)</f>
        <v>N/A</v>
      </c>
      <c r="AC213" s="178" t="str">
        <f>IF('Financial Inputs'!$P$64="as generated","N/A",'Detailed Cash Flow'!AC62)</f>
        <v>N/A</v>
      </c>
      <c r="AD213" s="178" t="str">
        <f>IF('Financial Inputs'!$P$64="as generated","N/A",'Detailed Cash Flow'!AD62)</f>
        <v>N/A</v>
      </c>
      <c r="AE213" s="178" t="str">
        <f>IF('Financial Inputs'!$P$64="as generated","N/A",'Detailed Cash Flow'!AE62)</f>
        <v>N/A</v>
      </c>
      <c r="AF213" s="178" t="str">
        <f>IF('Financial Inputs'!$P$64="as generated","N/A",'Detailed Cash Flow'!AF62)</f>
        <v>N/A</v>
      </c>
      <c r="AG213" s="178" t="str">
        <f>IF('Financial Inputs'!$P$64="as generated","N/A",'Detailed Cash Flow'!AG62)</f>
        <v>N/A</v>
      </c>
      <c r="AH213" s="178" t="str">
        <f>IF('Financial Inputs'!$P$64="as generated","N/A",'Detailed Cash Flow'!AH62)</f>
        <v>N/A</v>
      </c>
      <c r="AI213" s="178" t="str">
        <f>IF('Financial Inputs'!$P$64="as generated","N/A",'Detailed Cash Flow'!AI62)</f>
        <v>N/A</v>
      </c>
      <c r="AJ213" s="178" t="str">
        <f>IF('Financial Inputs'!$P$64="as generated","N/A",'Detailed Cash Flow'!AJ62)</f>
        <v>N/A</v>
      </c>
    </row>
    <row r="214" spans="2:36" s="1" customFormat="1" x14ac:dyDescent="0.2">
      <c r="B214" s="161"/>
      <c r="C214" s="161"/>
      <c r="D214" s="161"/>
      <c r="E214" s="161"/>
      <c r="F214" s="161"/>
      <c r="G214" s="178"/>
      <c r="H214" s="178"/>
      <c r="I214" s="178"/>
      <c r="J214" s="178"/>
      <c r="K214" s="178"/>
      <c r="L214" s="178"/>
      <c r="M214" s="178"/>
      <c r="N214" s="178"/>
      <c r="O214" s="178"/>
      <c r="P214" s="178"/>
      <c r="Q214" s="178"/>
      <c r="R214" s="178"/>
      <c r="S214" s="178"/>
      <c r="T214" s="178"/>
      <c r="U214" s="178"/>
      <c r="V214" s="178"/>
      <c r="W214" s="178"/>
      <c r="X214" s="178"/>
      <c r="Y214" s="178"/>
      <c r="Z214" s="178"/>
      <c r="AA214" s="178"/>
      <c r="AB214" s="178"/>
      <c r="AC214" s="178"/>
      <c r="AD214" s="178"/>
      <c r="AE214" s="178"/>
      <c r="AF214" s="178"/>
      <c r="AG214" s="178"/>
      <c r="AH214" s="178"/>
      <c r="AI214" s="178"/>
      <c r="AJ214" s="178"/>
    </row>
    <row r="215" spans="2:36" s="1" customFormat="1" x14ac:dyDescent="0.2">
      <c r="B215" s="161" t="s">
        <v>182</v>
      </c>
      <c r="C215" s="161"/>
      <c r="D215" s="161"/>
      <c r="E215" s="161"/>
      <c r="F215" s="161"/>
      <c r="G215" s="178">
        <v>0</v>
      </c>
      <c r="H215" s="178">
        <f>IF('Financial Inputs'!$P$64="as generated",0,G218)</f>
        <v>0</v>
      </c>
      <c r="I215" s="178">
        <f>IF('Financial Inputs'!$P$64="as generated",0,H218)</f>
        <v>0</v>
      </c>
      <c r="J215" s="178">
        <f>IF('Financial Inputs'!$P$64="as generated",0,I218)</f>
        <v>0</v>
      </c>
      <c r="K215" s="178">
        <f>IF('Financial Inputs'!$P$64="as generated",0,J218)</f>
        <v>0</v>
      </c>
      <c r="L215" s="178">
        <f>IF('Financial Inputs'!$P$64="as generated",0,K218)</f>
        <v>0</v>
      </c>
      <c r="M215" s="178">
        <f>IF('Financial Inputs'!$P$64="as generated",0,L218)</f>
        <v>0</v>
      </c>
      <c r="N215" s="178">
        <f>IF('Financial Inputs'!$P$64="as generated",0,M218)</f>
        <v>0</v>
      </c>
      <c r="O215" s="178">
        <f>IF('Financial Inputs'!$P$64="as generated",0,N218)</f>
        <v>0</v>
      </c>
      <c r="P215" s="178">
        <f>IF('Financial Inputs'!$P$64="as generated",0,O218)</f>
        <v>0</v>
      </c>
      <c r="Q215" s="178">
        <f>IF('Financial Inputs'!$P$64="as generated",0,P218)</f>
        <v>0</v>
      </c>
      <c r="R215" s="178">
        <f>IF('Financial Inputs'!$P$64="as generated",0,Q218)</f>
        <v>0</v>
      </c>
      <c r="S215" s="178">
        <f>IF('Financial Inputs'!$P$64="as generated",0,R218)</f>
        <v>0</v>
      </c>
      <c r="T215" s="178">
        <f>IF('Financial Inputs'!$P$64="as generated",0,S218)</f>
        <v>0</v>
      </c>
      <c r="U215" s="178">
        <f>IF('Financial Inputs'!$P$64="as generated",0,T218)</f>
        <v>0</v>
      </c>
      <c r="V215" s="178">
        <f>IF('Financial Inputs'!$P$64="as generated",0,U218)</f>
        <v>0</v>
      </c>
      <c r="W215" s="178">
        <f>IF('Financial Inputs'!$P$64="as generated",0,V218)</f>
        <v>0</v>
      </c>
      <c r="X215" s="178">
        <f>IF('Financial Inputs'!$P$64="as generated",0,W218)</f>
        <v>0</v>
      </c>
      <c r="Y215" s="178">
        <f>IF('Financial Inputs'!$P$64="as generated",0,X218)</f>
        <v>0</v>
      </c>
      <c r="Z215" s="178">
        <f>IF('Financial Inputs'!$P$64="as generated",0,Y218)</f>
        <v>0</v>
      </c>
      <c r="AA215" s="178">
        <f>IF('Financial Inputs'!$P$64="as generated",0,Z218)</f>
        <v>0</v>
      </c>
      <c r="AB215" s="178">
        <f>IF('Financial Inputs'!$P$64="as generated",0,AA218)</f>
        <v>0</v>
      </c>
      <c r="AC215" s="178">
        <f>IF('Financial Inputs'!$P$64="as generated",0,AB218)</f>
        <v>0</v>
      </c>
      <c r="AD215" s="178">
        <f>IF('Financial Inputs'!$P$64="as generated",0,AC218)</f>
        <v>0</v>
      </c>
      <c r="AE215" s="178">
        <f>IF('Financial Inputs'!$P$64="as generated",0,AD218)</f>
        <v>0</v>
      </c>
      <c r="AF215" s="178">
        <f>IF('Financial Inputs'!$P$64="as generated",0,AE218)</f>
        <v>0</v>
      </c>
      <c r="AG215" s="178">
        <f>IF('Financial Inputs'!$P$64="as generated",0,AF218)</f>
        <v>0</v>
      </c>
      <c r="AH215" s="178">
        <f>IF('Financial Inputs'!$P$64="as generated",0,AG218)</f>
        <v>0</v>
      </c>
      <c r="AI215" s="178">
        <f>IF('Financial Inputs'!$P$64="as generated",0,AH218)</f>
        <v>0</v>
      </c>
      <c r="AJ215" s="178">
        <f>IF('Financial Inputs'!$P$64="as generated",0,AI218)</f>
        <v>0</v>
      </c>
    </row>
    <row r="216" spans="2:36" s="1" customFormat="1" x14ac:dyDescent="0.2">
      <c r="B216" s="161" t="s">
        <v>183</v>
      </c>
      <c r="C216" s="161"/>
      <c r="D216" s="161"/>
      <c r="E216" s="161"/>
      <c r="F216" s="161"/>
      <c r="G216" s="178">
        <f>IF('Financial Inputs'!$P$64="as generated",0,IF(G213&lt;=0,G210,0))</f>
        <v>0</v>
      </c>
      <c r="H216" s="178">
        <f>IF('Financial Inputs'!$P$64="as generated",0,IF(H213&lt;=0,H210,0))</f>
        <v>0</v>
      </c>
      <c r="I216" s="178">
        <f>IF('Financial Inputs'!$P$64="as generated",0,IF(I213&lt;=0,I210,0))</f>
        <v>0</v>
      </c>
      <c r="J216" s="178">
        <f>IF('Financial Inputs'!$P$64="as generated",0,IF(J213&lt;=0,J210,0))</f>
        <v>0</v>
      </c>
      <c r="K216" s="178">
        <f>IF('Financial Inputs'!$P$64="as generated",0,IF(K213&lt;=0,K210,0))</f>
        <v>0</v>
      </c>
      <c r="L216" s="178">
        <f>IF('Financial Inputs'!$P$64="as generated",0,IF(L213&lt;=0,L210,0))</f>
        <v>0</v>
      </c>
      <c r="M216" s="178">
        <f>IF('Financial Inputs'!$P$64="as generated",0,IF(M213&lt;=0,M210,0))</f>
        <v>0</v>
      </c>
      <c r="N216" s="178">
        <f>IF('Financial Inputs'!$P$64="as generated",0,IF(N213&lt;=0,N210,0))</f>
        <v>0</v>
      </c>
      <c r="O216" s="178">
        <f>IF('Financial Inputs'!$P$64="as generated",0,IF(O213&lt;=0,O210,0))</f>
        <v>0</v>
      </c>
      <c r="P216" s="178">
        <f>IF('Financial Inputs'!$P$64="as generated",0,IF(P213&lt;=0,P210,0))</f>
        <v>0</v>
      </c>
      <c r="Q216" s="178">
        <f>IF('Financial Inputs'!$P$64="as generated",0,IF(Q213&lt;=0,Q210,0))</f>
        <v>0</v>
      </c>
      <c r="R216" s="178">
        <f>IF('Financial Inputs'!$P$64="as generated",0,IF(R213&lt;=0,R210,0))</f>
        <v>0</v>
      </c>
      <c r="S216" s="178">
        <f>IF('Financial Inputs'!$P$64="as generated",0,IF(S213&lt;=0,S210,0))</f>
        <v>0</v>
      </c>
      <c r="T216" s="178">
        <f>IF('Financial Inputs'!$P$64="as generated",0,IF(T213&lt;=0,T210,0))</f>
        <v>0</v>
      </c>
      <c r="U216" s="178">
        <f>IF('Financial Inputs'!$P$64="as generated",0,IF(U213&lt;=0,U210,0))</f>
        <v>0</v>
      </c>
      <c r="V216" s="178">
        <f>IF('Financial Inputs'!$P$64="as generated",0,IF(V213&lt;=0,V210,0))</f>
        <v>0</v>
      </c>
      <c r="W216" s="178">
        <f>IF('Financial Inputs'!$P$64="as generated",0,IF(W213&lt;=0,W210,0))</f>
        <v>0</v>
      </c>
      <c r="X216" s="178">
        <f>IF('Financial Inputs'!$P$64="as generated",0,IF(X213&lt;=0,X210,0))</f>
        <v>0</v>
      </c>
      <c r="Y216" s="178">
        <f>IF('Financial Inputs'!$P$64="as generated",0,IF(Y213&lt;=0,Y210,0))</f>
        <v>0</v>
      </c>
      <c r="Z216" s="178">
        <f>IF('Financial Inputs'!$P$64="as generated",0,IF(Z213&lt;=0,Z210,0))</f>
        <v>0</v>
      </c>
      <c r="AA216" s="178">
        <f>IF('Financial Inputs'!$P$64="as generated",0,IF(AA213&lt;=0,AA210,0))</f>
        <v>0</v>
      </c>
      <c r="AB216" s="178">
        <f>IF('Financial Inputs'!$P$64="as generated",0,IF(AB213&lt;=0,AB210,0))</f>
        <v>0</v>
      </c>
      <c r="AC216" s="178">
        <f>IF('Financial Inputs'!$P$64="as generated",0,IF(AC213&lt;=0,AC210,0))</f>
        <v>0</v>
      </c>
      <c r="AD216" s="178">
        <f>IF('Financial Inputs'!$P$64="as generated",0,IF(AD213&lt;=0,AD210,0))</f>
        <v>0</v>
      </c>
      <c r="AE216" s="178">
        <f>IF('Financial Inputs'!$P$64="as generated",0,IF(AE213&lt;=0,AE210,0))</f>
        <v>0</v>
      </c>
      <c r="AF216" s="178">
        <f>IF('Financial Inputs'!$P$64="as generated",0,IF(AF213&lt;=0,AF210,0))</f>
        <v>0</v>
      </c>
      <c r="AG216" s="178">
        <f>IF('Financial Inputs'!$P$64="as generated",0,IF(AG213&lt;=0,AG210,0))</f>
        <v>0</v>
      </c>
      <c r="AH216" s="178">
        <f>IF('Financial Inputs'!$P$64="as generated",0,IF(AH213&lt;=0,AH210,0))</f>
        <v>0</v>
      </c>
      <c r="AI216" s="178">
        <f>IF('Financial Inputs'!$P$64="as generated",0,IF(AI213&lt;=0,AI210,0))</f>
        <v>0</v>
      </c>
      <c r="AJ216" s="178">
        <f>IF('Financial Inputs'!$P$64="as generated",0,IF(AJ213&lt;=0,AJ210,0))</f>
        <v>0</v>
      </c>
    </row>
    <row r="217" spans="2:36" s="1" customFormat="1" x14ac:dyDescent="0.2">
      <c r="B217" s="161" t="s">
        <v>184</v>
      </c>
      <c r="C217" s="161"/>
      <c r="D217" s="161"/>
      <c r="E217" s="161"/>
      <c r="F217" s="161"/>
      <c r="G217" s="178">
        <f>IF('Financial Inputs'!$P$64="as generated",0,IF(G$213&lt;0,MAX(G$213,-G$216),0))</f>
        <v>0</v>
      </c>
      <c r="H217" s="178">
        <f>IF('Financial Inputs'!$P$64="as generated",0,IF(H$213&lt;0,MAX(H$213,-G$218),0))</f>
        <v>0</v>
      </c>
      <c r="I217" s="178">
        <f>IF('Financial Inputs'!$P$64="as generated",0,IF(I$213&lt;0,MAX(I$213,-H$218),0))</f>
        <v>0</v>
      </c>
      <c r="J217" s="178">
        <f>IF('Financial Inputs'!$P$64="as generated",0,IF(J$213&lt;0,MAX(J$213,-I$218),0))</f>
        <v>0</v>
      </c>
      <c r="K217" s="178">
        <f>IF('Financial Inputs'!$P$64="as generated",0,IF(K$213&lt;0,MAX(K$213,-J$218),0))</f>
        <v>0</v>
      </c>
      <c r="L217" s="178">
        <f>IF('Financial Inputs'!$P$64="as generated",0,IF(L$213&lt;0,MAX(L$213,-K$218),0))</f>
        <v>0</v>
      </c>
      <c r="M217" s="178">
        <f>IF('Financial Inputs'!$P$64="as generated",0,IF(M$213&lt;0,MAX(M$213,-L$218),0))</f>
        <v>0</v>
      </c>
      <c r="N217" s="178">
        <f>IF('Financial Inputs'!$P$64="as generated",0,IF(N$213&lt;0,MAX(N$213,-M$218),0))</f>
        <v>0</v>
      </c>
      <c r="O217" s="178">
        <f>IF('Financial Inputs'!$P$64="as generated",0,IF(O$213&lt;0,MAX(O$213,-N$218),0))</f>
        <v>0</v>
      </c>
      <c r="P217" s="178">
        <f>IF('Financial Inputs'!$P$64="as generated",0,IF(P$213&lt;0,MAX(P$213,-O$218),0))</f>
        <v>0</v>
      </c>
      <c r="Q217" s="178">
        <f>IF('Financial Inputs'!$P$64="as generated",0,IF(Q$213&lt;0,MAX(Q$213,-P$218),0))</f>
        <v>0</v>
      </c>
      <c r="R217" s="178">
        <f>IF('Financial Inputs'!$P$64="as generated",0,IF(R$213&lt;0,MAX(R$213,-Q$218),0))</f>
        <v>0</v>
      </c>
      <c r="S217" s="178">
        <f>IF('Financial Inputs'!$P$64="as generated",0,IF(S$213&lt;0,MAX(S$213,-R$218),0))</f>
        <v>0</v>
      </c>
      <c r="T217" s="178">
        <f>IF('Financial Inputs'!$P$64="as generated",0,IF(T$213&lt;0,MAX(T$213,-S$218),0))</f>
        <v>0</v>
      </c>
      <c r="U217" s="178">
        <f>IF('Financial Inputs'!$P$64="as generated",0,IF(U$213&lt;0,MAX(U$213,-T$218),0))</f>
        <v>0</v>
      </c>
      <c r="V217" s="178">
        <f>IF('Financial Inputs'!$P$64="as generated",0,IF(V$213&lt;0,MAX(V$213,-U$218),0))</f>
        <v>0</v>
      </c>
      <c r="W217" s="178">
        <f>IF('Financial Inputs'!$P$64="as generated",0,IF(W$213&lt;0,MAX(W$213,-V$218),0))</f>
        <v>0</v>
      </c>
      <c r="X217" s="178">
        <f>IF('Financial Inputs'!$P$64="as generated",0,IF(X$213&lt;0,MAX(X$213,-W$218),0))</f>
        <v>0</v>
      </c>
      <c r="Y217" s="178">
        <f>IF('Financial Inputs'!$P$64="as generated",0,IF(Y$213&lt;0,MAX(Y$213,-X$218),0))</f>
        <v>0</v>
      </c>
      <c r="Z217" s="178">
        <f>IF('Financial Inputs'!$P$64="as generated",0,IF(Z$213&lt;0,MAX(Z$213,-Y$218),0))</f>
        <v>0</v>
      </c>
      <c r="AA217" s="178">
        <f>IF('Financial Inputs'!$P$64="as generated",0,IF(AA$213&lt;0,MAX(AA$213,-Z$218),0))</f>
        <v>0</v>
      </c>
      <c r="AB217" s="178">
        <f>IF('Financial Inputs'!$P$64="as generated",0,IF(AB$213&lt;0,MAX(AB$213,-AA$218),0))</f>
        <v>0</v>
      </c>
      <c r="AC217" s="178">
        <f>IF('Financial Inputs'!$P$64="as generated",0,IF(AC$213&lt;0,MAX(AC$213,-AB$218),0))</f>
        <v>0</v>
      </c>
      <c r="AD217" s="178">
        <f>IF('Financial Inputs'!$P$64="as generated",0,IF(AD$213&lt;0,MAX(AD$213,-AC$218),0))</f>
        <v>0</v>
      </c>
      <c r="AE217" s="178">
        <f>IF('Financial Inputs'!$P$64="as generated",0,IF(AE$213&lt;0,MAX(AE$213,-AD$218),0))</f>
        <v>0</v>
      </c>
      <c r="AF217" s="178">
        <f>IF('Financial Inputs'!$P$64="as generated",0,IF(AF$213&lt;0,MAX(AF$213,-AE$218),0))</f>
        <v>0</v>
      </c>
      <c r="AG217" s="178">
        <f>IF('Financial Inputs'!$P$64="as generated",0,IF(AG$213&lt;0,MAX(AG$213,-AF$218),0))</f>
        <v>0</v>
      </c>
      <c r="AH217" s="178">
        <f>IF('Financial Inputs'!$P$64="as generated",0,IF(AH$213&lt;0,MAX(AH$213,-AG$218),0))</f>
        <v>0</v>
      </c>
      <c r="AI217" s="178">
        <f>IF('Financial Inputs'!$P$64="as generated",0,IF(AI$213&lt;0,MAX(AI$213,-AH$218),0))</f>
        <v>0</v>
      </c>
      <c r="AJ217" s="178">
        <f>IF('Financial Inputs'!$P$64="as generated",0,IF(AJ$213&lt;0,MAX(AJ$213,-AI$218),0))</f>
        <v>0</v>
      </c>
    </row>
    <row r="218" spans="2:36" s="1" customFormat="1" x14ac:dyDescent="0.2">
      <c r="B218" s="161" t="s">
        <v>185</v>
      </c>
      <c r="C218" s="161"/>
      <c r="D218" s="161"/>
      <c r="E218" s="161"/>
      <c r="F218" s="178">
        <v>0</v>
      </c>
      <c r="G218" s="178">
        <f>SUM(G215:G217)</f>
        <v>0</v>
      </c>
      <c r="H218" s="178">
        <f t="shared" ref="H218:AJ218" si="66">SUM(H215:H217)</f>
        <v>0</v>
      </c>
      <c r="I218" s="178">
        <f t="shared" si="66"/>
        <v>0</v>
      </c>
      <c r="J218" s="178">
        <f t="shared" si="66"/>
        <v>0</v>
      </c>
      <c r="K218" s="178">
        <f t="shared" si="66"/>
        <v>0</v>
      </c>
      <c r="L218" s="178">
        <f t="shared" si="66"/>
        <v>0</v>
      </c>
      <c r="M218" s="178">
        <f t="shared" si="66"/>
        <v>0</v>
      </c>
      <c r="N218" s="178">
        <f t="shared" si="66"/>
        <v>0</v>
      </c>
      <c r="O218" s="178">
        <f t="shared" si="66"/>
        <v>0</v>
      </c>
      <c r="P218" s="178">
        <f t="shared" si="66"/>
        <v>0</v>
      </c>
      <c r="Q218" s="178">
        <f t="shared" si="66"/>
        <v>0</v>
      </c>
      <c r="R218" s="178">
        <f t="shared" si="66"/>
        <v>0</v>
      </c>
      <c r="S218" s="178">
        <f t="shared" si="66"/>
        <v>0</v>
      </c>
      <c r="T218" s="178">
        <f t="shared" si="66"/>
        <v>0</v>
      </c>
      <c r="U218" s="178">
        <f t="shared" si="66"/>
        <v>0</v>
      </c>
      <c r="V218" s="178">
        <f t="shared" si="66"/>
        <v>0</v>
      </c>
      <c r="W218" s="178">
        <f t="shared" si="66"/>
        <v>0</v>
      </c>
      <c r="X218" s="178">
        <f t="shared" si="66"/>
        <v>0</v>
      </c>
      <c r="Y218" s="178">
        <f t="shared" si="66"/>
        <v>0</v>
      </c>
      <c r="Z218" s="178">
        <f t="shared" si="66"/>
        <v>0</v>
      </c>
      <c r="AA218" s="178">
        <f t="shared" si="66"/>
        <v>0</v>
      </c>
      <c r="AB218" s="178">
        <f t="shared" si="66"/>
        <v>0</v>
      </c>
      <c r="AC218" s="178">
        <f t="shared" si="66"/>
        <v>0</v>
      </c>
      <c r="AD218" s="178">
        <f t="shared" si="66"/>
        <v>0</v>
      </c>
      <c r="AE218" s="178">
        <f t="shared" si="66"/>
        <v>0</v>
      </c>
      <c r="AF218" s="178">
        <f t="shared" si="66"/>
        <v>0</v>
      </c>
      <c r="AG218" s="178">
        <f t="shared" si="66"/>
        <v>0</v>
      </c>
      <c r="AH218" s="178">
        <f t="shared" si="66"/>
        <v>0</v>
      </c>
      <c r="AI218" s="178">
        <f t="shared" si="66"/>
        <v>0</v>
      </c>
      <c r="AJ218" s="178">
        <f t="shared" si="66"/>
        <v>0</v>
      </c>
    </row>
    <row r="219" spans="2:36" s="1" customFormat="1" x14ac:dyDescent="0.2">
      <c r="B219" s="161"/>
      <c r="C219" s="161"/>
      <c r="D219" s="161"/>
      <c r="E219" s="161"/>
      <c r="F219" s="161"/>
      <c r="G219" s="161"/>
      <c r="H219" s="184"/>
      <c r="I219" s="161"/>
      <c r="J219" s="161"/>
      <c r="K219" s="161"/>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row>
    <row r="220" spans="2:36" s="1" customFormat="1" ht="15.75" x14ac:dyDescent="0.25">
      <c r="B220" s="160" t="s">
        <v>166</v>
      </c>
      <c r="C220" s="160"/>
      <c r="D220" s="160"/>
      <c r="E220" s="161"/>
      <c r="F220" s="161"/>
      <c r="G220" s="183"/>
      <c r="H220" s="184"/>
      <c r="I220" s="161"/>
      <c r="J220" s="161"/>
      <c r="K220" s="161"/>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row>
    <row r="221" spans="2:36" s="1" customFormat="1" x14ac:dyDescent="0.2">
      <c r="B221" s="161" t="s">
        <v>163</v>
      </c>
      <c r="C221" s="161"/>
      <c r="D221" s="161"/>
      <c r="E221" s="161"/>
      <c r="F221" s="161"/>
      <c r="G221" s="223">
        <f>IF(OR('Financial Inputs'!$P$62="No",'Financial Inputs'!$P$32="Performance-Based",'Financial Inputs'!$P$32="Neither"),0,IF(G$2&lt;='Financial Inputs'!$P$35,($C$141*('Financial Inputs'!$P$33*(1-'Financial Inputs'!$P$63))*'Financial Inputs'!$P$34)/'Financial Inputs'!$P$35,0))</f>
        <v>0</v>
      </c>
      <c r="H221" s="223">
        <f>IF(OR('Financial Inputs'!$P$62="No",'Financial Inputs'!$P$32="Performance-Based",'Financial Inputs'!$P$32="Neither"),0,IF(H$2&lt;='Financial Inputs'!$P$35,($C$141*('Financial Inputs'!$P$33*(1-'Financial Inputs'!$P$63))*'Financial Inputs'!$P$34)/'Financial Inputs'!$P$35,0))</f>
        <v>0</v>
      </c>
      <c r="I221" s="223">
        <f>IF(OR('Financial Inputs'!$P$62="No",'Financial Inputs'!$P$32="Performance-Based",'Financial Inputs'!$P$32="Neither"),0,IF(I$2&lt;='Financial Inputs'!$P$35,($C$141*('Financial Inputs'!$P$33*(1-'Financial Inputs'!$P$63))*'Financial Inputs'!$P$34)/'Financial Inputs'!$P$35,0))</f>
        <v>0</v>
      </c>
      <c r="J221" s="223">
        <f>IF(OR('Financial Inputs'!$P$62="No",'Financial Inputs'!$P$32="Performance-Based",'Financial Inputs'!$P$32="Neither"),0,IF(J$2&lt;='Financial Inputs'!$P$35,($C$141*('Financial Inputs'!$P$33*(1-'Financial Inputs'!$P$63))*'Financial Inputs'!$P$34)/'Financial Inputs'!$P$35,0))</f>
        <v>0</v>
      </c>
      <c r="K221" s="223">
        <f>IF(OR('Financial Inputs'!$P$62="No",'Financial Inputs'!$P$32="Performance-Based",'Financial Inputs'!$P$32="Neither"),0,IF(K$2&lt;='Financial Inputs'!$P$35,($C$141*('Financial Inputs'!$P$33*(1-'Financial Inputs'!$P$63))*'Financial Inputs'!$P$34)/'Financial Inputs'!$P$35,0))</f>
        <v>0</v>
      </c>
      <c r="L221" s="223">
        <f>IF(OR('Financial Inputs'!$P$62="No",'Financial Inputs'!$P$32="Performance-Based",'Financial Inputs'!$P$32="Neither"),0,IF(L$2&lt;='Financial Inputs'!$P$35,($C$141*('Financial Inputs'!$P$33*(1-'Financial Inputs'!$P$63))*'Financial Inputs'!$P$34)/'Financial Inputs'!$P$35,0))</f>
        <v>0</v>
      </c>
      <c r="M221" s="223">
        <f>IF(OR('Financial Inputs'!$P$62="No",'Financial Inputs'!$P$32="Performance-Based",'Financial Inputs'!$P$32="Neither"),0,IF(M$2&lt;='Financial Inputs'!$P$35,($C$141*('Financial Inputs'!$P$33*(1-'Financial Inputs'!$P$63))*'Financial Inputs'!$P$34)/'Financial Inputs'!$P$35,0))</f>
        <v>0</v>
      </c>
      <c r="N221" s="223">
        <f>IF(OR('Financial Inputs'!$P$62="No",'Financial Inputs'!$P$32="Performance-Based",'Financial Inputs'!$P$32="Neither"),0,IF(N$2&lt;='Financial Inputs'!$P$35,($C$141*('Financial Inputs'!$P$33*(1-'Financial Inputs'!$P$63))*'Financial Inputs'!$P$34)/'Financial Inputs'!$P$35,0))</f>
        <v>0</v>
      </c>
      <c r="O221" s="223">
        <f>IF(OR('Financial Inputs'!$P$62="No",'Financial Inputs'!$P$32="Performance-Based",'Financial Inputs'!$P$32="Neither"),0,IF(O$2&lt;='Financial Inputs'!$P$35,($C$141*('Financial Inputs'!$P$33*(1-'Financial Inputs'!$P$63))*'Financial Inputs'!$P$34)/'Financial Inputs'!$P$35,0))</f>
        <v>0</v>
      </c>
      <c r="P221" s="223">
        <f>IF(OR('Financial Inputs'!$P$62="No",'Financial Inputs'!$P$32="Performance-Based",'Financial Inputs'!$P$32="Neither"),0,IF(P$2&lt;='Financial Inputs'!$P$35,($C$141*('Financial Inputs'!$P$33*(1-'Financial Inputs'!$P$63))*'Financial Inputs'!$P$34)/'Financial Inputs'!$P$35,0))</f>
        <v>0</v>
      </c>
      <c r="Q221" s="223">
        <f>IF(OR('Financial Inputs'!$P$62="No",'Financial Inputs'!$P$32="Performance-Based",'Financial Inputs'!$P$32="Neither"),0,IF(Q$2&lt;='Financial Inputs'!$P$35,($C$141*('Financial Inputs'!$P$33*(1-'Financial Inputs'!$P$63))*'Financial Inputs'!$P$34)/'Financial Inputs'!$P$35,0))</f>
        <v>0</v>
      </c>
      <c r="R221" s="223">
        <f>IF(OR('Financial Inputs'!$P$62="No",'Financial Inputs'!$P$32="Performance-Based",'Financial Inputs'!$P$32="Neither"),0,IF(R$2&lt;='Financial Inputs'!$P$35,($C$141*('Financial Inputs'!$P$33*(1-'Financial Inputs'!$P$63))*'Financial Inputs'!$P$34)/'Financial Inputs'!$P$35,0))</f>
        <v>0</v>
      </c>
      <c r="S221" s="223">
        <f>IF(OR('Financial Inputs'!$P$62="No",'Financial Inputs'!$P$32="Performance-Based",'Financial Inputs'!$P$32="Neither"),0,IF(S$2&lt;='Financial Inputs'!$P$35,($C$141*('Financial Inputs'!$P$33*(1-'Financial Inputs'!$P$63))*'Financial Inputs'!$P$34)/'Financial Inputs'!$P$35,0))</f>
        <v>0</v>
      </c>
      <c r="T221" s="223">
        <f>IF(OR('Financial Inputs'!$P$62="No",'Financial Inputs'!$P$32="Performance-Based",'Financial Inputs'!$P$32="Neither"),0,IF(T$2&lt;='Financial Inputs'!$P$35,($C$141*('Financial Inputs'!$P$33*(1-'Financial Inputs'!$P$63))*'Financial Inputs'!$P$34)/'Financial Inputs'!$P$35,0))</f>
        <v>0</v>
      </c>
      <c r="U221" s="223">
        <f>IF(OR('Financial Inputs'!$P$62="No",'Financial Inputs'!$P$32="Performance-Based",'Financial Inputs'!$P$32="Neither"),0,IF(U$2&lt;='Financial Inputs'!$P$35,($C$141*('Financial Inputs'!$P$33*(1-'Financial Inputs'!$P$63))*'Financial Inputs'!$P$34)/'Financial Inputs'!$P$35,0))</f>
        <v>0</v>
      </c>
      <c r="V221" s="223">
        <f>IF(OR('Financial Inputs'!$P$62="No",'Financial Inputs'!$P$32="Performance-Based",'Financial Inputs'!$P$32="Neither"),0,IF(V$2&lt;='Financial Inputs'!$P$35,($C$141*('Financial Inputs'!$P$33*(1-'Financial Inputs'!$P$63))*'Financial Inputs'!$P$34)/'Financial Inputs'!$P$35,0))</f>
        <v>0</v>
      </c>
      <c r="W221" s="223">
        <f>IF(OR('Financial Inputs'!$P$62="No",'Financial Inputs'!$P$32="Performance-Based",'Financial Inputs'!$P$32="Neither"),0,IF(W$2&lt;='Financial Inputs'!$P$35,($C$141*('Financial Inputs'!$P$33*(1-'Financial Inputs'!$P$63))*'Financial Inputs'!$P$34)/'Financial Inputs'!$P$35,0))</f>
        <v>0</v>
      </c>
      <c r="X221" s="223">
        <f>IF(OR('Financial Inputs'!$P$62="No",'Financial Inputs'!$P$32="Performance-Based",'Financial Inputs'!$P$32="Neither"),0,IF(X$2&lt;='Financial Inputs'!$P$35,($C$141*('Financial Inputs'!$P$33*(1-'Financial Inputs'!$P$63))*'Financial Inputs'!$P$34)/'Financial Inputs'!$P$35,0))</f>
        <v>0</v>
      </c>
      <c r="Y221" s="223">
        <f>IF(OR('Financial Inputs'!$P$62="No",'Financial Inputs'!$P$32="Performance-Based",'Financial Inputs'!$P$32="Neither"),0,IF(Y$2&lt;='Financial Inputs'!$P$35,($C$141*('Financial Inputs'!$P$33*(1-'Financial Inputs'!$P$63))*'Financial Inputs'!$P$34)/'Financial Inputs'!$P$35,0))</f>
        <v>0</v>
      </c>
      <c r="Z221" s="223">
        <f>IF(OR('Financial Inputs'!$P$62="No",'Financial Inputs'!$P$32="Performance-Based",'Financial Inputs'!$P$32="Neither"),0,IF(Z$2&lt;='Financial Inputs'!$P$35,($C$141*('Financial Inputs'!$P$33*(1-'Financial Inputs'!$P$63))*'Financial Inputs'!$P$34)/'Financial Inputs'!$P$35,0))</f>
        <v>0</v>
      </c>
      <c r="AA221" s="223">
        <f>IF(OR('Financial Inputs'!$P$62="No",'Financial Inputs'!$P$32="Performance-Based",'Financial Inputs'!$P$32="Neither"),0,IF(AA$2&lt;='Financial Inputs'!$P$35,($C$141*('Financial Inputs'!$P$33*(1-'Financial Inputs'!$P$63))*'Financial Inputs'!$P$34)/'Financial Inputs'!$P$35,0))</f>
        <v>0</v>
      </c>
      <c r="AB221" s="223">
        <f>IF(OR('Financial Inputs'!$P$62="No",'Financial Inputs'!$P$32="Performance-Based",'Financial Inputs'!$P$32="Neither"),0,IF(AB$2&lt;='Financial Inputs'!$P$35,($C$141*('Financial Inputs'!$P$33*(1-'Financial Inputs'!$P$63))*'Financial Inputs'!$P$34)/'Financial Inputs'!$P$35,0))</f>
        <v>0</v>
      </c>
      <c r="AC221" s="223">
        <f>IF(OR('Financial Inputs'!$P$62="No",'Financial Inputs'!$P$32="Performance-Based",'Financial Inputs'!$P$32="Neither"),0,IF(AC$2&lt;='Financial Inputs'!$P$35,($C$141*('Financial Inputs'!$P$33*(1-'Financial Inputs'!$P$63))*'Financial Inputs'!$P$34)/'Financial Inputs'!$P$35,0))</f>
        <v>0</v>
      </c>
      <c r="AD221" s="223">
        <f>IF(OR('Financial Inputs'!$P$62="No",'Financial Inputs'!$P$32="Performance-Based",'Financial Inputs'!$P$32="Neither"),0,IF(AD$2&lt;='Financial Inputs'!$P$35,($C$141*('Financial Inputs'!$P$33*(1-'Financial Inputs'!$P$63))*'Financial Inputs'!$P$34)/'Financial Inputs'!$P$35,0))</f>
        <v>0</v>
      </c>
      <c r="AE221" s="223">
        <f>IF(OR('Financial Inputs'!$P$62="No",'Financial Inputs'!$P$32="Performance-Based",'Financial Inputs'!$P$32="Neither"),0,IF(AE$2&lt;='Financial Inputs'!$P$35,($C$141*('Financial Inputs'!$P$33*(1-'Financial Inputs'!$P$63))*'Financial Inputs'!$P$34)/'Financial Inputs'!$P$35,0))</f>
        <v>0</v>
      </c>
      <c r="AF221" s="223">
        <f>IF(OR('Financial Inputs'!$P$62="No",'Financial Inputs'!$P$32="Performance-Based",'Financial Inputs'!$P$32="Neither"),0,IF(AF$2&lt;='Financial Inputs'!$P$35,($C$141*('Financial Inputs'!$P$33*(1-'Financial Inputs'!$P$63))*'Financial Inputs'!$P$34)/'Financial Inputs'!$P$35,0))</f>
        <v>0</v>
      </c>
      <c r="AG221" s="223">
        <f>IF(OR('Financial Inputs'!$P$62="No",'Financial Inputs'!$P$32="Performance-Based",'Financial Inputs'!$P$32="Neither"),0,IF(AG$2&lt;='Financial Inputs'!$P$35,($C$141*('Financial Inputs'!$P$33*(1-'Financial Inputs'!$P$63))*'Financial Inputs'!$P$34)/'Financial Inputs'!$P$35,0))</f>
        <v>0</v>
      </c>
      <c r="AH221" s="223">
        <f>IF(OR('Financial Inputs'!$P$62="No",'Financial Inputs'!$P$32="Performance-Based",'Financial Inputs'!$P$32="Neither"),0,IF(AH$2&lt;='Financial Inputs'!$P$35,($C$141*('Financial Inputs'!$P$33*(1-'Financial Inputs'!$P$63))*'Financial Inputs'!$P$34)/'Financial Inputs'!$P$35,0))</f>
        <v>0</v>
      </c>
      <c r="AI221" s="223">
        <f>IF(OR('Financial Inputs'!$P$62="No",'Financial Inputs'!$P$32="Performance-Based",'Financial Inputs'!$P$32="Neither"),0,IF(AI$2&lt;='Financial Inputs'!$P$35,($C$141*('Financial Inputs'!$P$33*(1-'Financial Inputs'!$P$63))*'Financial Inputs'!$P$34)/'Financial Inputs'!$P$35,0))</f>
        <v>0</v>
      </c>
      <c r="AJ221" s="223">
        <f>IF(OR('Financial Inputs'!$P$62="No",'Financial Inputs'!$P$32="Performance-Based",'Financial Inputs'!$P$32="Neither"),0,IF(AJ$2&lt;='Financial Inputs'!$P$35,($C$141*('Financial Inputs'!$P$33*(1-'Financial Inputs'!$P$63))*'Financial Inputs'!$P$34)/'Financial Inputs'!$P$35,0))</f>
        <v>0</v>
      </c>
    </row>
    <row r="222" spans="2:36" s="1" customFormat="1" x14ac:dyDescent="0.2">
      <c r="B222" s="161" t="s">
        <v>141</v>
      </c>
      <c r="C222" s="161"/>
      <c r="D222" s="161"/>
      <c r="E222" s="161"/>
      <c r="F222" s="161"/>
      <c r="G222" s="178">
        <f>IF(OR('Financial Inputs'!$P$62="No",'Financial Inputs'!$P$32="Cost-Based",'Financial Inputs'!$P$32="Neither"),0,IF('Financial Inputs'!$P$37="Tax Credit",IF(G$2&gt;'Financial Inputs'!$P$42,0,IF('Financial Inputs'!$P$38=0,'Financial Inputs'!$P$40/100*G$12*'Financial Inputs'!$P$41*G$4,MIN('Financial Inputs'!$P$38,'Financial Inputs'!$P$40/100*G$12*'Financial Inputs'!$P$41*G$4))),0))</f>
        <v>0</v>
      </c>
      <c r="H222" s="178">
        <f>IF(OR('Financial Inputs'!$P$62="No",'Financial Inputs'!$P$32="Cost-Based",'Financial Inputs'!$P$32="Neither"),0,IF('Financial Inputs'!$P$37="Tax Credit",IF(H$2&gt;'Financial Inputs'!$P$42,0,IF('Financial Inputs'!$P$38=0,'Financial Inputs'!$P$40/100*H$12*'Financial Inputs'!$P$41*H$4,MIN('Financial Inputs'!$P$38,'Financial Inputs'!$P$40/100*H$12*'Financial Inputs'!$P$41*H$4))),0))</f>
        <v>0</v>
      </c>
      <c r="I222" s="178">
        <f>IF(OR('Financial Inputs'!$P$62="No",'Financial Inputs'!$P$32="Cost-Based",'Financial Inputs'!$P$32="Neither"),0,IF('Financial Inputs'!$P$37="Tax Credit",IF(I$2&gt;'Financial Inputs'!$P$42,0,IF('Financial Inputs'!$P$38=0,'Financial Inputs'!$P$40/100*I$12*'Financial Inputs'!$P$41*I$4,MIN('Financial Inputs'!$P$38,'Financial Inputs'!$P$40/100*I$12*'Financial Inputs'!$P$41*I$4))),0))</f>
        <v>0</v>
      </c>
      <c r="J222" s="178">
        <f>IF(OR('Financial Inputs'!$P$62="No",'Financial Inputs'!$P$32="Cost-Based",'Financial Inputs'!$P$32="Neither"),0,IF('Financial Inputs'!$P$37="Tax Credit",IF(J$2&gt;'Financial Inputs'!$P$42,0,IF('Financial Inputs'!$P$38=0,'Financial Inputs'!$P$40/100*J$12*'Financial Inputs'!$P$41*J$4,MIN('Financial Inputs'!$P$38,'Financial Inputs'!$P$40/100*J$12*'Financial Inputs'!$P$41*J$4))),0))</f>
        <v>0</v>
      </c>
      <c r="K222" s="178">
        <f>IF(OR('Financial Inputs'!$P$62="No",'Financial Inputs'!$P$32="Cost-Based",'Financial Inputs'!$P$32="Neither"),0,IF('Financial Inputs'!$P$37="Tax Credit",IF(K$2&gt;'Financial Inputs'!$P$42,0,IF('Financial Inputs'!$P$38=0,'Financial Inputs'!$P$40/100*K$12*'Financial Inputs'!$P$41*K$4,MIN('Financial Inputs'!$P$38,'Financial Inputs'!$P$40/100*K$12*'Financial Inputs'!$P$41*K$4))),0))</f>
        <v>0</v>
      </c>
      <c r="L222" s="178">
        <f>IF(OR('Financial Inputs'!$P$62="No",'Financial Inputs'!$P$32="Cost-Based",'Financial Inputs'!$P$32="Neither"),0,IF('Financial Inputs'!$P$37="Tax Credit",IF(L$2&gt;'Financial Inputs'!$P$42,0,IF('Financial Inputs'!$P$38=0,'Financial Inputs'!$P$40/100*L$12*'Financial Inputs'!$P$41*L$4,MIN('Financial Inputs'!$P$38,'Financial Inputs'!$P$40/100*L$12*'Financial Inputs'!$P$41*L$4))),0))</f>
        <v>0</v>
      </c>
      <c r="M222" s="178">
        <f>IF(OR('Financial Inputs'!$P$62="No",'Financial Inputs'!$P$32="Cost-Based",'Financial Inputs'!$P$32="Neither"),0,IF('Financial Inputs'!$P$37="Tax Credit",IF(M$2&gt;'Financial Inputs'!$P$42,0,IF('Financial Inputs'!$P$38=0,'Financial Inputs'!$P$40/100*M$12*'Financial Inputs'!$P$41*M$4,MIN('Financial Inputs'!$P$38,'Financial Inputs'!$P$40/100*M$12*'Financial Inputs'!$P$41*M$4))),0))</f>
        <v>0</v>
      </c>
      <c r="N222" s="178">
        <f>IF(OR('Financial Inputs'!$P$62="No",'Financial Inputs'!$P$32="Cost-Based",'Financial Inputs'!$P$32="Neither"),0,IF('Financial Inputs'!$P$37="Tax Credit",IF(N$2&gt;'Financial Inputs'!$P$42,0,IF('Financial Inputs'!$P$38=0,'Financial Inputs'!$P$40/100*N$12*'Financial Inputs'!$P$41*N$4,MIN('Financial Inputs'!$P$38,'Financial Inputs'!$P$40/100*N$12*'Financial Inputs'!$P$41*N$4))),0))</f>
        <v>0</v>
      </c>
      <c r="O222" s="178">
        <f>IF(OR('Financial Inputs'!$P$62="No",'Financial Inputs'!$P$32="Cost-Based",'Financial Inputs'!$P$32="Neither"),0,IF('Financial Inputs'!$P$37="Tax Credit",IF(O$2&gt;'Financial Inputs'!$P$42,0,IF('Financial Inputs'!$P$38=0,'Financial Inputs'!$P$40/100*O$12*'Financial Inputs'!$P$41*O$4,MIN('Financial Inputs'!$P$38,'Financial Inputs'!$P$40/100*O$12*'Financial Inputs'!$P$41*O$4))),0))</f>
        <v>0</v>
      </c>
      <c r="P222" s="178">
        <f>IF(OR('Financial Inputs'!$P$62="No",'Financial Inputs'!$P$32="Cost-Based",'Financial Inputs'!$P$32="Neither"),0,IF('Financial Inputs'!$P$37="Tax Credit",IF(P$2&gt;'Financial Inputs'!$P$42,0,IF('Financial Inputs'!$P$38=0,'Financial Inputs'!$P$40/100*P$12*'Financial Inputs'!$P$41*P$4,MIN('Financial Inputs'!$P$38,'Financial Inputs'!$P$40/100*P$12*'Financial Inputs'!$P$41*P$4))),0))</f>
        <v>0</v>
      </c>
      <c r="Q222" s="178">
        <f>IF(OR('Financial Inputs'!$P$62="No",'Financial Inputs'!$P$32="Cost-Based",'Financial Inputs'!$P$32="Neither"),0,IF('Financial Inputs'!$P$37="Tax Credit",IF(Q$2&gt;'Financial Inputs'!$P$42,0,IF('Financial Inputs'!$P$38=0,'Financial Inputs'!$P$40/100*Q$12*'Financial Inputs'!$P$41*Q$4,MIN('Financial Inputs'!$P$38,'Financial Inputs'!$P$40/100*Q$12*'Financial Inputs'!$P$41*Q$4))),0))</f>
        <v>0</v>
      </c>
      <c r="R222" s="178">
        <f>IF(OR('Financial Inputs'!$P$62="No",'Financial Inputs'!$P$32="Cost-Based",'Financial Inputs'!$P$32="Neither"),0,IF('Financial Inputs'!$P$37="Tax Credit",IF(R$2&gt;'Financial Inputs'!$P$42,0,IF('Financial Inputs'!$P$38=0,'Financial Inputs'!$P$40/100*R$12*'Financial Inputs'!$P$41*R$4,MIN('Financial Inputs'!$P$38,'Financial Inputs'!$P$40/100*R$12*'Financial Inputs'!$P$41*R$4))),0))</f>
        <v>0</v>
      </c>
      <c r="S222" s="178">
        <f>IF(OR('Financial Inputs'!$P$62="No",'Financial Inputs'!$P$32="Cost-Based",'Financial Inputs'!$P$32="Neither"),0,IF('Financial Inputs'!$P$37="Tax Credit",IF(S$2&gt;'Financial Inputs'!$P$42,0,IF('Financial Inputs'!$P$38=0,'Financial Inputs'!$P$40/100*S$12*'Financial Inputs'!$P$41*S$4,MIN('Financial Inputs'!$P$38,'Financial Inputs'!$P$40/100*S$12*'Financial Inputs'!$P$41*S$4))),0))</f>
        <v>0</v>
      </c>
      <c r="T222" s="178">
        <f>IF(OR('Financial Inputs'!$P$62="No",'Financial Inputs'!$P$32="Cost-Based",'Financial Inputs'!$P$32="Neither"),0,IF('Financial Inputs'!$P$37="Tax Credit",IF(T$2&gt;'Financial Inputs'!$P$42,0,IF('Financial Inputs'!$P$38=0,'Financial Inputs'!$P$40/100*T$12*'Financial Inputs'!$P$41*T$4,MIN('Financial Inputs'!$P$38,'Financial Inputs'!$P$40/100*T$12*'Financial Inputs'!$P$41*T$4))),0))</f>
        <v>0</v>
      </c>
      <c r="U222" s="178">
        <f>IF(OR('Financial Inputs'!$P$62="No",'Financial Inputs'!$P$32="Cost-Based",'Financial Inputs'!$P$32="Neither"),0,IF('Financial Inputs'!$P$37="Tax Credit",IF(U$2&gt;'Financial Inputs'!$P$42,0,IF('Financial Inputs'!$P$38=0,'Financial Inputs'!$P$40/100*U$12*'Financial Inputs'!$P$41*U$4,MIN('Financial Inputs'!$P$38,'Financial Inputs'!$P$40/100*U$12*'Financial Inputs'!$P$41*U$4))),0))</f>
        <v>0</v>
      </c>
      <c r="V222" s="178">
        <f>IF(OR('Financial Inputs'!$P$62="No",'Financial Inputs'!$P$32="Cost-Based",'Financial Inputs'!$P$32="Neither"),0,IF('Financial Inputs'!$P$37="Tax Credit",IF(V$2&gt;'Financial Inputs'!$P$42,0,IF('Financial Inputs'!$P$38=0,'Financial Inputs'!$P$40/100*V$12*'Financial Inputs'!$P$41*V$4,MIN('Financial Inputs'!$P$38,'Financial Inputs'!$P$40/100*V$12*'Financial Inputs'!$P$41*V$4))),0))</f>
        <v>0</v>
      </c>
      <c r="W222" s="178">
        <f>IF(OR('Financial Inputs'!$P$62="No",'Financial Inputs'!$P$32="Cost-Based",'Financial Inputs'!$P$32="Neither"),0,IF('Financial Inputs'!$P$37="Tax Credit",IF(W$2&gt;'Financial Inputs'!$P$42,0,IF('Financial Inputs'!$P$38=0,'Financial Inputs'!$P$40/100*W$12*'Financial Inputs'!$P$41*W$4,MIN('Financial Inputs'!$P$38,'Financial Inputs'!$P$40/100*W$12*'Financial Inputs'!$P$41*W$4))),0))</f>
        <v>0</v>
      </c>
      <c r="X222" s="178">
        <f>IF(OR('Financial Inputs'!$P$62="No",'Financial Inputs'!$P$32="Cost-Based",'Financial Inputs'!$P$32="Neither"),0,IF('Financial Inputs'!$P$37="Tax Credit",IF(X$2&gt;'Financial Inputs'!$P$42,0,IF('Financial Inputs'!$P$38=0,'Financial Inputs'!$P$40/100*X$12*'Financial Inputs'!$P$41*X$4,MIN('Financial Inputs'!$P$38,'Financial Inputs'!$P$40/100*X$12*'Financial Inputs'!$P$41*X$4))),0))</f>
        <v>0</v>
      </c>
      <c r="Y222" s="178">
        <f>IF(OR('Financial Inputs'!$P$62="No",'Financial Inputs'!$P$32="Cost-Based",'Financial Inputs'!$P$32="Neither"),0,IF('Financial Inputs'!$P$37="Tax Credit",IF(Y$2&gt;'Financial Inputs'!$P$42,0,IF('Financial Inputs'!$P$38=0,'Financial Inputs'!$P$40/100*Y$12*'Financial Inputs'!$P$41*Y$4,MIN('Financial Inputs'!$P$38,'Financial Inputs'!$P$40/100*Y$12*'Financial Inputs'!$P$41*Y$4))),0))</f>
        <v>0</v>
      </c>
      <c r="Z222" s="178">
        <f>IF(OR('Financial Inputs'!$P$62="No",'Financial Inputs'!$P$32="Cost-Based",'Financial Inputs'!$P$32="Neither"),0,IF('Financial Inputs'!$P$37="Tax Credit",IF(Z$2&gt;'Financial Inputs'!$P$42,0,IF('Financial Inputs'!$P$38=0,'Financial Inputs'!$P$40/100*Z$12*'Financial Inputs'!$P$41*Z$4,MIN('Financial Inputs'!$P$38,'Financial Inputs'!$P$40/100*Z$12*'Financial Inputs'!$P$41*Z$4))),0))</f>
        <v>0</v>
      </c>
      <c r="AA222" s="178">
        <f>IF(OR('Financial Inputs'!$P$62="No",'Financial Inputs'!$P$32="Cost-Based",'Financial Inputs'!$P$32="Neither"),0,IF('Financial Inputs'!$P$37="Tax Credit",IF(AA$2&gt;'Financial Inputs'!$P$42,0,IF('Financial Inputs'!$P$38=0,'Financial Inputs'!$P$40/100*AA$12*'Financial Inputs'!$P$41*AA$4,MIN('Financial Inputs'!$P$38,'Financial Inputs'!$P$40/100*AA$12*'Financial Inputs'!$P$41*AA$4))),0))</f>
        <v>0</v>
      </c>
      <c r="AB222" s="178">
        <f>IF(OR('Financial Inputs'!$P$62="No",'Financial Inputs'!$P$32="Cost-Based",'Financial Inputs'!$P$32="Neither"),0,IF('Financial Inputs'!$P$37="Tax Credit",IF(AB$2&gt;'Financial Inputs'!$P$42,0,IF('Financial Inputs'!$P$38=0,'Financial Inputs'!$P$40/100*AB$12*'Financial Inputs'!$P$41*AB$4,MIN('Financial Inputs'!$P$38,'Financial Inputs'!$P$40/100*AB$12*'Financial Inputs'!$P$41*AB$4))),0))</f>
        <v>0</v>
      </c>
      <c r="AC222" s="178">
        <f>IF(OR('Financial Inputs'!$P$62="No",'Financial Inputs'!$P$32="Cost-Based",'Financial Inputs'!$P$32="Neither"),0,IF('Financial Inputs'!$P$37="Tax Credit",IF(AC$2&gt;'Financial Inputs'!$P$42,0,IF('Financial Inputs'!$P$38=0,'Financial Inputs'!$P$40/100*AC$12*'Financial Inputs'!$P$41*AC$4,MIN('Financial Inputs'!$P$38,'Financial Inputs'!$P$40/100*AC$12*'Financial Inputs'!$P$41*AC$4))),0))</f>
        <v>0</v>
      </c>
      <c r="AD222" s="178">
        <f>IF(OR('Financial Inputs'!$P$62="No",'Financial Inputs'!$P$32="Cost-Based",'Financial Inputs'!$P$32="Neither"),0,IF('Financial Inputs'!$P$37="Tax Credit",IF(AD$2&gt;'Financial Inputs'!$P$42,0,IF('Financial Inputs'!$P$38=0,'Financial Inputs'!$P$40/100*AD$12*'Financial Inputs'!$P$41*AD$4,MIN('Financial Inputs'!$P$38,'Financial Inputs'!$P$40/100*AD$12*'Financial Inputs'!$P$41*AD$4))),0))</f>
        <v>0</v>
      </c>
      <c r="AE222" s="178">
        <f>IF(OR('Financial Inputs'!$P$62="No",'Financial Inputs'!$P$32="Cost-Based",'Financial Inputs'!$P$32="Neither"),0,IF('Financial Inputs'!$P$37="Tax Credit",IF(AE$2&gt;'Financial Inputs'!$P$42,0,IF('Financial Inputs'!$P$38=0,'Financial Inputs'!$P$40/100*AE$12*'Financial Inputs'!$P$41*AE$4,MIN('Financial Inputs'!$P$38,'Financial Inputs'!$P$40/100*AE$12*'Financial Inputs'!$P$41*AE$4))),0))</f>
        <v>0</v>
      </c>
      <c r="AF222" s="178">
        <f>IF(OR('Financial Inputs'!$P$62="No",'Financial Inputs'!$P$32="Cost-Based",'Financial Inputs'!$P$32="Neither"),0,IF('Financial Inputs'!$P$37="Tax Credit",IF(AF$2&gt;'Financial Inputs'!$P$42,0,IF('Financial Inputs'!$P$38=0,'Financial Inputs'!$P$40/100*AF$12*'Financial Inputs'!$P$41*AF$4,MIN('Financial Inputs'!$P$38,'Financial Inputs'!$P$40/100*AF$12*'Financial Inputs'!$P$41*AF$4))),0))</f>
        <v>0</v>
      </c>
      <c r="AG222" s="178">
        <f>IF(OR('Financial Inputs'!$P$62="No",'Financial Inputs'!$P$32="Cost-Based",'Financial Inputs'!$P$32="Neither"),0,IF('Financial Inputs'!$P$37="Tax Credit",IF(AG$2&gt;'Financial Inputs'!$P$42,0,IF('Financial Inputs'!$P$38=0,'Financial Inputs'!$P$40/100*AG$12*'Financial Inputs'!$P$41*AG$4,MIN('Financial Inputs'!$P$38,'Financial Inputs'!$P$40/100*AG$12*'Financial Inputs'!$P$41*AG$4))),0))</f>
        <v>0</v>
      </c>
      <c r="AH222" s="178">
        <f>IF(OR('Financial Inputs'!$P$62="No",'Financial Inputs'!$P$32="Cost-Based",'Financial Inputs'!$P$32="Neither"),0,IF('Financial Inputs'!$P$37="Tax Credit",IF(AH$2&gt;'Financial Inputs'!$P$42,0,IF('Financial Inputs'!$P$38=0,'Financial Inputs'!$P$40/100*AH$12*'Financial Inputs'!$P$41*AH$4,MIN('Financial Inputs'!$P$38,'Financial Inputs'!$P$40/100*AH$12*'Financial Inputs'!$P$41*AH$4))),0))</f>
        <v>0</v>
      </c>
      <c r="AI222" s="178">
        <f>IF(OR('Financial Inputs'!$P$62="No",'Financial Inputs'!$P$32="Cost-Based",'Financial Inputs'!$P$32="Neither"),0,IF('Financial Inputs'!$P$37="Tax Credit",IF(AI$2&gt;'Financial Inputs'!$P$42,0,IF('Financial Inputs'!$P$38=0,'Financial Inputs'!$P$40/100*AI$12*'Financial Inputs'!$P$41*AI$4,MIN('Financial Inputs'!$P$38,'Financial Inputs'!$P$40/100*AI$12*'Financial Inputs'!$P$41*AI$4))),0))</f>
        <v>0</v>
      </c>
      <c r="AJ222" s="178">
        <f>IF(OR('Financial Inputs'!$P$62="No",'Financial Inputs'!$P$32="Cost-Based",'Financial Inputs'!$P$32="Neither"),0,IF('Financial Inputs'!$P$37="Tax Credit",IF(AJ$2&gt;'Financial Inputs'!$P$42,0,IF('Financial Inputs'!$P$38=0,'Financial Inputs'!$P$40/100*AJ$12*'Financial Inputs'!$P$41*AJ$4,MIN('Financial Inputs'!$P$38,'Financial Inputs'!$P$40/100*AJ$12*'Financial Inputs'!$P$41*AJ$4))),0))</f>
        <v>0</v>
      </c>
    </row>
    <row r="223" spans="2:36" s="1" customFormat="1" ht="15.75" x14ac:dyDescent="0.25">
      <c r="B223" s="161"/>
      <c r="C223" s="161"/>
      <c r="D223" s="603"/>
      <c r="E223" s="161"/>
      <c r="F223" s="161"/>
      <c r="G223" s="183"/>
      <c r="H223" s="184"/>
      <c r="I223" s="161"/>
      <c r="J223" s="161"/>
      <c r="K223" s="161"/>
      <c r="L223" s="161"/>
      <c r="M223" s="161"/>
      <c r="N223" s="161"/>
      <c r="O223" s="161"/>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row>
    <row r="224" spans="2:36" s="1" customFormat="1" x14ac:dyDescent="0.2">
      <c r="B224" s="161" t="s">
        <v>164</v>
      </c>
      <c r="C224" s="161"/>
      <c r="D224" s="603"/>
      <c r="E224" s="437"/>
      <c r="F224" s="161"/>
      <c r="G224" s="178">
        <f>SUM(G221:G222)</f>
        <v>0</v>
      </c>
      <c r="H224" s="178">
        <f t="shared" ref="H224:AJ224" si="67">SUM(H221:H222)</f>
        <v>0</v>
      </c>
      <c r="I224" s="178">
        <f t="shared" si="67"/>
        <v>0</v>
      </c>
      <c r="J224" s="178">
        <f t="shared" si="67"/>
        <v>0</v>
      </c>
      <c r="K224" s="178">
        <f t="shared" si="67"/>
        <v>0</v>
      </c>
      <c r="L224" s="178">
        <f t="shared" si="67"/>
        <v>0</v>
      </c>
      <c r="M224" s="178">
        <f t="shared" si="67"/>
        <v>0</v>
      </c>
      <c r="N224" s="178">
        <f t="shared" si="67"/>
        <v>0</v>
      </c>
      <c r="O224" s="178">
        <f t="shared" si="67"/>
        <v>0</v>
      </c>
      <c r="P224" s="178">
        <f t="shared" si="67"/>
        <v>0</v>
      </c>
      <c r="Q224" s="178">
        <f t="shared" si="67"/>
        <v>0</v>
      </c>
      <c r="R224" s="178">
        <f t="shared" si="67"/>
        <v>0</v>
      </c>
      <c r="S224" s="178">
        <f t="shared" si="67"/>
        <v>0</v>
      </c>
      <c r="T224" s="178">
        <f t="shared" si="67"/>
        <v>0</v>
      </c>
      <c r="U224" s="178">
        <f t="shared" si="67"/>
        <v>0</v>
      </c>
      <c r="V224" s="178">
        <f t="shared" si="67"/>
        <v>0</v>
      </c>
      <c r="W224" s="178">
        <f t="shared" si="67"/>
        <v>0</v>
      </c>
      <c r="X224" s="178">
        <f t="shared" si="67"/>
        <v>0</v>
      </c>
      <c r="Y224" s="178">
        <f t="shared" si="67"/>
        <v>0</v>
      </c>
      <c r="Z224" s="178">
        <f t="shared" si="67"/>
        <v>0</v>
      </c>
      <c r="AA224" s="178">
        <f t="shared" si="67"/>
        <v>0</v>
      </c>
      <c r="AB224" s="178">
        <f t="shared" si="67"/>
        <v>0</v>
      </c>
      <c r="AC224" s="178">
        <f t="shared" si="67"/>
        <v>0</v>
      </c>
      <c r="AD224" s="178">
        <f t="shared" si="67"/>
        <v>0</v>
      </c>
      <c r="AE224" s="178">
        <f t="shared" si="67"/>
        <v>0</v>
      </c>
      <c r="AF224" s="178">
        <f t="shared" si="67"/>
        <v>0</v>
      </c>
      <c r="AG224" s="178">
        <f t="shared" si="67"/>
        <v>0</v>
      </c>
      <c r="AH224" s="178">
        <f t="shared" si="67"/>
        <v>0</v>
      </c>
      <c r="AI224" s="178">
        <f t="shared" si="67"/>
        <v>0</v>
      </c>
      <c r="AJ224" s="178">
        <f t="shared" si="67"/>
        <v>0</v>
      </c>
    </row>
    <row r="225" spans="2:36" s="1" customFormat="1" x14ac:dyDescent="0.2">
      <c r="B225" s="161"/>
      <c r="C225" s="161"/>
      <c r="D225" s="161"/>
      <c r="E225" s="161"/>
      <c r="F225" s="161"/>
      <c r="G225" s="178"/>
      <c r="H225" s="178"/>
      <c r="I225" s="178"/>
      <c r="J225" s="178"/>
      <c r="K225" s="178"/>
      <c r="L225" s="178"/>
      <c r="M225" s="178"/>
      <c r="N225" s="178"/>
      <c r="O225" s="178"/>
      <c r="P225" s="178"/>
      <c r="Q225" s="178"/>
      <c r="R225" s="178"/>
      <c r="S225" s="178"/>
      <c r="T225" s="178"/>
      <c r="U225" s="178"/>
      <c r="V225" s="178"/>
      <c r="W225" s="178"/>
      <c r="X225" s="178"/>
      <c r="Y225" s="178"/>
      <c r="Z225" s="178"/>
      <c r="AA225" s="178"/>
      <c r="AB225" s="178"/>
      <c r="AC225" s="178"/>
      <c r="AD225" s="178"/>
      <c r="AE225" s="178"/>
      <c r="AF225" s="178"/>
      <c r="AG225" s="178"/>
      <c r="AH225" s="178"/>
      <c r="AI225" s="178"/>
      <c r="AJ225" s="178"/>
    </row>
    <row r="226" spans="2:36" s="1" customFormat="1" x14ac:dyDescent="0.2">
      <c r="B226" s="224" t="s">
        <v>165</v>
      </c>
      <c r="C226" s="224"/>
      <c r="D226" s="224"/>
      <c r="E226" s="161"/>
      <c r="F226" s="161"/>
      <c r="G226" s="178"/>
      <c r="H226" s="178"/>
      <c r="I226" s="178"/>
      <c r="J226" s="178"/>
      <c r="K226" s="178"/>
      <c r="L226" s="178"/>
      <c r="M226" s="178"/>
      <c r="N226" s="178"/>
      <c r="O226" s="178"/>
      <c r="P226" s="178"/>
      <c r="Q226" s="178"/>
      <c r="R226" s="178"/>
      <c r="S226" s="178"/>
      <c r="T226" s="178"/>
      <c r="U226" s="178"/>
      <c r="V226" s="178"/>
      <c r="W226" s="178"/>
      <c r="X226" s="178"/>
      <c r="Y226" s="178"/>
      <c r="Z226" s="178"/>
      <c r="AA226" s="178"/>
      <c r="AB226" s="178"/>
      <c r="AC226" s="178"/>
      <c r="AD226" s="178"/>
      <c r="AE226" s="178"/>
      <c r="AF226" s="178"/>
      <c r="AG226" s="178"/>
      <c r="AH226" s="178"/>
      <c r="AI226" s="178"/>
      <c r="AJ226" s="178"/>
    </row>
    <row r="227" spans="2:36" s="1" customFormat="1" x14ac:dyDescent="0.2">
      <c r="B227" s="161" t="str">
        <f>B63</f>
        <v>State Income Taxes Saved / (Paid), before ITC/PTC</v>
      </c>
      <c r="C227" s="161"/>
      <c r="D227" s="161"/>
      <c r="E227" s="161"/>
      <c r="F227" s="161"/>
      <c r="G227" s="178" t="str">
        <f>IF('Financial Inputs'!$P$66="as generated","N/A",'Detailed Cash Flow'!G63)</f>
        <v>N/A</v>
      </c>
      <c r="H227" s="178" t="str">
        <f>IF('Financial Inputs'!$P$66="as generated","N/A",'Detailed Cash Flow'!H63)</f>
        <v>N/A</v>
      </c>
      <c r="I227" s="178" t="str">
        <f>IF('Financial Inputs'!$P$66="as generated","N/A",'Detailed Cash Flow'!I63)</f>
        <v>N/A</v>
      </c>
      <c r="J227" s="178" t="str">
        <f>IF('Financial Inputs'!$P$66="as generated","N/A",'Detailed Cash Flow'!J63)</f>
        <v>N/A</v>
      </c>
      <c r="K227" s="178" t="str">
        <f>IF('Financial Inputs'!$P$66="as generated","N/A",'Detailed Cash Flow'!K63)</f>
        <v>N/A</v>
      </c>
      <c r="L227" s="178" t="str">
        <f>IF('Financial Inputs'!$P$66="as generated","N/A",'Detailed Cash Flow'!L63)</f>
        <v>N/A</v>
      </c>
      <c r="M227" s="178" t="str">
        <f>IF('Financial Inputs'!$P$66="as generated","N/A",'Detailed Cash Flow'!M63)</f>
        <v>N/A</v>
      </c>
      <c r="N227" s="178" t="str">
        <f>IF('Financial Inputs'!$P$66="as generated","N/A",'Detailed Cash Flow'!N63)</f>
        <v>N/A</v>
      </c>
      <c r="O227" s="178" t="str">
        <f>IF('Financial Inputs'!$P$66="as generated","N/A",'Detailed Cash Flow'!O63)</f>
        <v>N/A</v>
      </c>
      <c r="P227" s="178" t="str">
        <f>IF('Financial Inputs'!$P$66="as generated","N/A",'Detailed Cash Flow'!P63)</f>
        <v>N/A</v>
      </c>
      <c r="Q227" s="178" t="str">
        <f>IF('Financial Inputs'!$P$66="as generated","N/A",'Detailed Cash Flow'!Q63)</f>
        <v>N/A</v>
      </c>
      <c r="R227" s="178" t="str">
        <f>IF('Financial Inputs'!$P$66="as generated","N/A",'Detailed Cash Flow'!R63)</f>
        <v>N/A</v>
      </c>
      <c r="S227" s="178" t="str">
        <f>IF('Financial Inputs'!$P$66="as generated","N/A",'Detailed Cash Flow'!S63)</f>
        <v>N/A</v>
      </c>
      <c r="T227" s="178" t="str">
        <f>IF('Financial Inputs'!$P$66="as generated","N/A",'Detailed Cash Flow'!T63)</f>
        <v>N/A</v>
      </c>
      <c r="U227" s="178" t="str">
        <f>IF('Financial Inputs'!$P$66="as generated","N/A",'Detailed Cash Flow'!U63)</f>
        <v>N/A</v>
      </c>
      <c r="V227" s="178" t="str">
        <f>IF('Financial Inputs'!$P$66="as generated","N/A",'Detailed Cash Flow'!V63)</f>
        <v>N/A</v>
      </c>
      <c r="W227" s="178" t="str">
        <f>IF('Financial Inputs'!$P$66="as generated","N/A",'Detailed Cash Flow'!W63)</f>
        <v>N/A</v>
      </c>
      <c r="X227" s="178" t="str">
        <f>IF('Financial Inputs'!$P$66="as generated","N/A",'Detailed Cash Flow'!X63)</f>
        <v>N/A</v>
      </c>
      <c r="Y227" s="178" t="str">
        <f>IF('Financial Inputs'!$P$66="as generated","N/A",'Detailed Cash Flow'!Y63)</f>
        <v>N/A</v>
      </c>
      <c r="Z227" s="178" t="str">
        <f>IF('Financial Inputs'!$P$66="as generated","N/A",'Detailed Cash Flow'!Z63)</f>
        <v>N/A</v>
      </c>
      <c r="AA227" s="178" t="str">
        <f>IF('Financial Inputs'!$P$66="as generated","N/A",'Detailed Cash Flow'!AA63)</f>
        <v>N/A</v>
      </c>
      <c r="AB227" s="178" t="str">
        <f>IF('Financial Inputs'!$P$66="as generated","N/A",'Detailed Cash Flow'!AB63)</f>
        <v>N/A</v>
      </c>
      <c r="AC227" s="178" t="str">
        <f>IF('Financial Inputs'!$P$66="as generated","N/A",'Detailed Cash Flow'!AC63)</f>
        <v>N/A</v>
      </c>
      <c r="AD227" s="178" t="str">
        <f>IF('Financial Inputs'!$P$66="as generated","N/A",'Detailed Cash Flow'!AD63)</f>
        <v>N/A</v>
      </c>
      <c r="AE227" s="178" t="str">
        <f>IF('Financial Inputs'!$P$66="as generated","N/A",'Detailed Cash Flow'!AE63)</f>
        <v>N/A</v>
      </c>
      <c r="AF227" s="178" t="str">
        <f>IF('Financial Inputs'!$P$66="as generated","N/A",'Detailed Cash Flow'!AF63)</f>
        <v>N/A</v>
      </c>
      <c r="AG227" s="178" t="str">
        <f>IF('Financial Inputs'!$P$66="as generated","N/A",'Detailed Cash Flow'!AG63)</f>
        <v>N/A</v>
      </c>
      <c r="AH227" s="178" t="str">
        <f>IF('Financial Inputs'!$P$66="as generated","N/A",'Detailed Cash Flow'!AH63)</f>
        <v>N/A</v>
      </c>
      <c r="AI227" s="178" t="str">
        <f>IF('Financial Inputs'!$P$66="as generated","N/A",'Detailed Cash Flow'!AI63)</f>
        <v>N/A</v>
      </c>
      <c r="AJ227" s="178" t="str">
        <f>IF('Financial Inputs'!$P$66="as generated","N/A",'Detailed Cash Flow'!AJ63)</f>
        <v>N/A</v>
      </c>
    </row>
    <row r="228" spans="2:36" s="1" customFormat="1" x14ac:dyDescent="0.2">
      <c r="B228" s="161"/>
      <c r="C228" s="161"/>
      <c r="D228" s="161"/>
      <c r="E228" s="161"/>
      <c r="F228" s="161"/>
      <c r="G228" s="178"/>
      <c r="H228" s="178"/>
      <c r="I228" s="178"/>
      <c r="J228" s="178"/>
      <c r="K228" s="178"/>
      <c r="L228" s="178"/>
      <c r="M228" s="178"/>
      <c r="N228" s="178"/>
      <c r="O228" s="178"/>
      <c r="P228" s="178"/>
      <c r="Q228" s="178"/>
      <c r="R228" s="178"/>
      <c r="S228" s="178"/>
      <c r="T228" s="178"/>
      <c r="U228" s="178"/>
      <c r="V228" s="178"/>
      <c r="W228" s="178"/>
      <c r="X228" s="178"/>
      <c r="Y228" s="178"/>
      <c r="Z228" s="178"/>
      <c r="AA228" s="178"/>
      <c r="AB228" s="178"/>
      <c r="AC228" s="178"/>
      <c r="AD228" s="178"/>
      <c r="AE228" s="178"/>
      <c r="AF228" s="178"/>
      <c r="AG228" s="178"/>
      <c r="AH228" s="178"/>
      <c r="AI228" s="178"/>
      <c r="AJ228" s="178"/>
    </row>
    <row r="229" spans="2:36" s="1" customFormat="1" x14ac:dyDescent="0.2">
      <c r="B229" s="161" t="s">
        <v>182</v>
      </c>
      <c r="C229" s="161"/>
      <c r="D229" s="161"/>
      <c r="E229" s="161"/>
      <c r="F229" s="161"/>
      <c r="G229" s="178">
        <v>0</v>
      </c>
      <c r="H229" s="178">
        <f>IF('Financial Inputs'!$P$66="as generated",0,G232)</f>
        <v>0</v>
      </c>
      <c r="I229" s="178">
        <f>IF('Financial Inputs'!$P$66="as generated",0,H232)</f>
        <v>0</v>
      </c>
      <c r="J229" s="178">
        <f>IF('Financial Inputs'!$P$66="as generated",0,I232)</f>
        <v>0</v>
      </c>
      <c r="K229" s="178">
        <f>IF('Financial Inputs'!$P$66="as generated",0,J232)</f>
        <v>0</v>
      </c>
      <c r="L229" s="178">
        <f>IF('Financial Inputs'!$P$66="as generated",0,K232)</f>
        <v>0</v>
      </c>
      <c r="M229" s="178">
        <f>IF('Financial Inputs'!$P$66="as generated",0,L232)</f>
        <v>0</v>
      </c>
      <c r="N229" s="178">
        <f>IF('Financial Inputs'!$P$66="as generated",0,M232)</f>
        <v>0</v>
      </c>
      <c r="O229" s="178">
        <f>IF('Financial Inputs'!$P$66="as generated",0,N232)</f>
        <v>0</v>
      </c>
      <c r="P229" s="178">
        <f>IF('Financial Inputs'!$P$66="as generated",0,O232)</f>
        <v>0</v>
      </c>
      <c r="Q229" s="178">
        <f>IF('Financial Inputs'!$P$66="as generated",0,P232)</f>
        <v>0</v>
      </c>
      <c r="R229" s="178">
        <f>IF('Financial Inputs'!$P$66="as generated",0,Q232)</f>
        <v>0</v>
      </c>
      <c r="S229" s="178">
        <f>IF('Financial Inputs'!$P$66="as generated",0,R232)</f>
        <v>0</v>
      </c>
      <c r="T229" s="178">
        <f>IF('Financial Inputs'!$P$66="as generated",0,S232)</f>
        <v>0</v>
      </c>
      <c r="U229" s="178">
        <f>IF('Financial Inputs'!$P$66="as generated",0,T232)</f>
        <v>0</v>
      </c>
      <c r="V229" s="178">
        <f>IF('Financial Inputs'!$P$66="as generated",0,U232)</f>
        <v>0</v>
      </c>
      <c r="W229" s="178">
        <f>IF('Financial Inputs'!$P$66="as generated",0,V232)</f>
        <v>0</v>
      </c>
      <c r="X229" s="178">
        <f>IF('Financial Inputs'!$P$66="as generated",0,W232)</f>
        <v>0</v>
      </c>
      <c r="Y229" s="178">
        <f>IF('Financial Inputs'!$P$66="as generated",0,X232)</f>
        <v>0</v>
      </c>
      <c r="Z229" s="178">
        <f>IF('Financial Inputs'!$P$66="as generated",0,Y232)</f>
        <v>0</v>
      </c>
      <c r="AA229" s="178">
        <f>IF('Financial Inputs'!$P$66="as generated",0,Z232)</f>
        <v>0</v>
      </c>
      <c r="AB229" s="178">
        <f>IF('Financial Inputs'!$P$66="as generated",0,AA232)</f>
        <v>0</v>
      </c>
      <c r="AC229" s="178">
        <f>IF('Financial Inputs'!$P$66="as generated",0,AB232)</f>
        <v>0</v>
      </c>
      <c r="AD229" s="178">
        <f>IF('Financial Inputs'!$P$66="as generated",0,AC232)</f>
        <v>0</v>
      </c>
      <c r="AE229" s="178">
        <f>IF('Financial Inputs'!$P$66="as generated",0,AD232)</f>
        <v>0</v>
      </c>
      <c r="AF229" s="178">
        <f>IF('Financial Inputs'!$P$66="as generated",0,AE232)</f>
        <v>0</v>
      </c>
      <c r="AG229" s="178">
        <f>IF('Financial Inputs'!$P$66="as generated",0,AF232)</f>
        <v>0</v>
      </c>
      <c r="AH229" s="178">
        <f>IF('Financial Inputs'!$P$66="as generated",0,AG232)</f>
        <v>0</v>
      </c>
      <c r="AI229" s="178">
        <f>IF('Financial Inputs'!$P$66="as generated",0,AH232)</f>
        <v>0</v>
      </c>
      <c r="AJ229" s="178">
        <f>IF('Financial Inputs'!$P$66="as generated",0,AI232)</f>
        <v>0</v>
      </c>
    </row>
    <row r="230" spans="2:36" s="1" customFormat="1" x14ac:dyDescent="0.2">
      <c r="B230" s="161" t="s">
        <v>183</v>
      </c>
      <c r="C230" s="161"/>
      <c r="D230" s="161"/>
      <c r="E230" s="161"/>
      <c r="F230" s="161"/>
      <c r="G230" s="178">
        <f>IF('Financial Inputs'!$P$66="as generated",0,IF(G227&lt;=0,G224,0))</f>
        <v>0</v>
      </c>
      <c r="H230" s="178">
        <f>IF('Financial Inputs'!$P$66="as generated",0,IF(H227&lt;=0,H224,0))</f>
        <v>0</v>
      </c>
      <c r="I230" s="178">
        <f>IF('Financial Inputs'!$P$66="as generated",0,IF(I227&lt;=0,I224,0))</f>
        <v>0</v>
      </c>
      <c r="J230" s="178">
        <f>IF('Financial Inputs'!$P$66="as generated",0,IF(J227&lt;=0,J224,0))</f>
        <v>0</v>
      </c>
      <c r="K230" s="178">
        <f>IF('Financial Inputs'!$P$66="as generated",0,IF(K227&lt;=0,K224,0))</f>
        <v>0</v>
      </c>
      <c r="L230" s="178">
        <f>IF('Financial Inputs'!$P$66="as generated",0,IF(L227&lt;=0,L224,0))</f>
        <v>0</v>
      </c>
      <c r="M230" s="178">
        <f>IF('Financial Inputs'!$P$66="as generated",0,IF(M227&lt;=0,M224,0))</f>
        <v>0</v>
      </c>
      <c r="N230" s="178">
        <f>IF('Financial Inputs'!$P$66="as generated",0,IF(N227&lt;=0,N224,0))</f>
        <v>0</v>
      </c>
      <c r="O230" s="178">
        <f>IF('Financial Inputs'!$P$66="as generated",0,IF(O227&lt;=0,O224,0))</f>
        <v>0</v>
      </c>
      <c r="P230" s="178">
        <f>IF('Financial Inputs'!$P$66="as generated",0,IF(P227&lt;=0,P224,0))</f>
        <v>0</v>
      </c>
      <c r="Q230" s="178">
        <f>IF('Financial Inputs'!$P$66="as generated",0,IF(Q227&lt;=0,Q224,0))</f>
        <v>0</v>
      </c>
      <c r="R230" s="178">
        <f>IF('Financial Inputs'!$P$66="as generated",0,IF(R227&lt;=0,R224,0))</f>
        <v>0</v>
      </c>
      <c r="S230" s="178">
        <f>IF('Financial Inputs'!$P$66="as generated",0,IF(S227&lt;=0,S224,0))</f>
        <v>0</v>
      </c>
      <c r="T230" s="178">
        <f>IF('Financial Inputs'!$P$66="as generated",0,IF(T227&lt;=0,T224,0))</f>
        <v>0</v>
      </c>
      <c r="U230" s="178">
        <f>IF('Financial Inputs'!$P$66="as generated",0,IF(U227&lt;=0,U224,0))</f>
        <v>0</v>
      </c>
      <c r="V230" s="178">
        <f>IF('Financial Inputs'!$P$66="as generated",0,IF(V227&lt;=0,V224,0))</f>
        <v>0</v>
      </c>
      <c r="W230" s="178">
        <f>IF('Financial Inputs'!$P$66="as generated",0,IF(W227&lt;=0,W224,0))</f>
        <v>0</v>
      </c>
      <c r="X230" s="178">
        <f>IF('Financial Inputs'!$P$66="as generated",0,IF(X227&lt;=0,X224,0))</f>
        <v>0</v>
      </c>
      <c r="Y230" s="178">
        <f>IF('Financial Inputs'!$P$66="as generated",0,IF(Y227&lt;=0,Y224,0))</f>
        <v>0</v>
      </c>
      <c r="Z230" s="178">
        <f>IF('Financial Inputs'!$P$66="as generated",0,IF(Z227&lt;=0,Z224,0))</f>
        <v>0</v>
      </c>
      <c r="AA230" s="178">
        <f>IF('Financial Inputs'!$P$66="as generated",0,IF(AA227&lt;=0,AA224,0))</f>
        <v>0</v>
      </c>
      <c r="AB230" s="178">
        <f>IF('Financial Inputs'!$P$66="as generated",0,IF(AB227&lt;=0,AB224,0))</f>
        <v>0</v>
      </c>
      <c r="AC230" s="178">
        <f>IF('Financial Inputs'!$P$66="as generated",0,IF(AC227&lt;=0,AC224,0))</f>
        <v>0</v>
      </c>
      <c r="AD230" s="178">
        <f>IF('Financial Inputs'!$P$66="as generated",0,IF(AD227&lt;=0,AD224,0))</f>
        <v>0</v>
      </c>
      <c r="AE230" s="178">
        <f>IF('Financial Inputs'!$P$66="as generated",0,IF(AE227&lt;=0,AE224,0))</f>
        <v>0</v>
      </c>
      <c r="AF230" s="178">
        <f>IF('Financial Inputs'!$P$66="as generated",0,IF(AF227&lt;=0,AF224,0))</f>
        <v>0</v>
      </c>
      <c r="AG230" s="178">
        <f>IF('Financial Inputs'!$P$66="as generated",0,IF(AG227&lt;=0,AG224,0))</f>
        <v>0</v>
      </c>
      <c r="AH230" s="178">
        <f>IF('Financial Inputs'!$P$66="as generated",0,IF(AH227&lt;=0,AH224,0))</f>
        <v>0</v>
      </c>
      <c r="AI230" s="178">
        <f>IF('Financial Inputs'!$P$66="as generated",0,IF(AI227&lt;=0,AI224,0))</f>
        <v>0</v>
      </c>
      <c r="AJ230" s="178">
        <f>IF('Financial Inputs'!$P$66="as generated",0,IF(AJ227&lt;=0,AJ224,0))</f>
        <v>0</v>
      </c>
    </row>
    <row r="231" spans="2:36" s="1" customFormat="1" x14ac:dyDescent="0.2">
      <c r="B231" s="161" t="s">
        <v>184</v>
      </c>
      <c r="C231" s="161"/>
      <c r="D231" s="161"/>
      <c r="E231" s="161"/>
      <c r="F231" s="161"/>
      <c r="G231" s="178">
        <f>IF('Financial Inputs'!$P$66="as generated",0,IF(G$227&lt;0,MAX(G$227,-F$232),0))</f>
        <v>0</v>
      </c>
      <c r="H231" s="178">
        <f>IF('Financial Inputs'!$P$66="as generated",0,IF(H$227&lt;0,MAX(H$227,-G$232),0))</f>
        <v>0</v>
      </c>
      <c r="I231" s="178">
        <f>IF('Financial Inputs'!$P$66="as generated",0,IF(I$227&lt;0,MAX(I$227,-H$232),0))</f>
        <v>0</v>
      </c>
      <c r="J231" s="178">
        <f>IF('Financial Inputs'!$P$66="as generated",0,IF(J$227&lt;0,MAX(J$227,-I$232),0))</f>
        <v>0</v>
      </c>
      <c r="K231" s="178">
        <f>IF('Financial Inputs'!$P$66="as generated",0,IF(K$227&lt;0,MAX(K$227,-J$232),0))</f>
        <v>0</v>
      </c>
      <c r="L231" s="178">
        <f>IF('Financial Inputs'!$P$66="as generated",0,IF(L$227&lt;0,MAX(L$227,-K$232),0))</f>
        <v>0</v>
      </c>
      <c r="M231" s="178">
        <f>IF('Financial Inputs'!$P$66="as generated",0,IF(M$227&lt;0,MAX(M$227,-L$232),0))</f>
        <v>0</v>
      </c>
      <c r="N231" s="178">
        <f>IF('Financial Inputs'!$P$66="as generated",0,IF(N$227&lt;0,MAX(N$227,-M$232),0))</f>
        <v>0</v>
      </c>
      <c r="O231" s="178">
        <f>IF('Financial Inputs'!$P$66="as generated",0,IF(O$227&lt;0,MAX(O$227,-N$232),0))</f>
        <v>0</v>
      </c>
      <c r="P231" s="178">
        <f>IF('Financial Inputs'!$P$66="as generated",0,IF(P$227&lt;0,MAX(P$227,-O$232),0))</f>
        <v>0</v>
      </c>
      <c r="Q231" s="178">
        <f>IF('Financial Inputs'!$P$66="as generated",0,IF(Q$227&lt;0,MAX(Q$227,-P$232),0))</f>
        <v>0</v>
      </c>
      <c r="R231" s="178">
        <f>IF('Financial Inputs'!$P$66="as generated",0,IF(R$227&lt;0,MAX(R$227,-Q$232),0))</f>
        <v>0</v>
      </c>
      <c r="S231" s="178">
        <f>IF('Financial Inputs'!$P$66="as generated",0,IF(S$227&lt;0,MAX(S$227,-R$232),0))</f>
        <v>0</v>
      </c>
      <c r="T231" s="178">
        <f>IF('Financial Inputs'!$P$66="as generated",0,IF(T$227&lt;0,MAX(T$227,-S$232),0))</f>
        <v>0</v>
      </c>
      <c r="U231" s="178">
        <f>IF('Financial Inputs'!$P$66="as generated",0,IF(U$227&lt;0,MAX(U$227,-T$232),0))</f>
        <v>0</v>
      </c>
      <c r="V231" s="178">
        <f>IF('Financial Inputs'!$P$66="as generated",0,IF(V$227&lt;0,MAX(V$227,-U$232),0))</f>
        <v>0</v>
      </c>
      <c r="W231" s="178">
        <f>IF('Financial Inputs'!$P$66="as generated",0,IF(W$227&lt;0,MAX(W$227,-V$232),0))</f>
        <v>0</v>
      </c>
      <c r="X231" s="178">
        <f>IF('Financial Inputs'!$P$66="as generated",0,IF(X$227&lt;0,MAX(X$227,-W$232),0))</f>
        <v>0</v>
      </c>
      <c r="Y231" s="178">
        <f>IF('Financial Inputs'!$P$66="as generated",0,IF(Y$227&lt;0,MAX(Y$227,-X$232),0))</f>
        <v>0</v>
      </c>
      <c r="Z231" s="178">
        <f>IF('Financial Inputs'!$P$66="as generated",0,IF(Z$227&lt;0,MAX(Z$227,-Y$232),0))</f>
        <v>0</v>
      </c>
      <c r="AA231" s="178">
        <f>IF('Financial Inputs'!$P$66="as generated",0,IF(AA$227&lt;0,MAX(AA$227,-Z$232),0))</f>
        <v>0</v>
      </c>
      <c r="AB231" s="178">
        <f>IF('Financial Inputs'!$P$66="as generated",0,IF(AB$227&lt;0,MAX(AB$227,-AA$232),0))</f>
        <v>0</v>
      </c>
      <c r="AC231" s="178">
        <f>IF('Financial Inputs'!$P$66="as generated",0,IF(AC$227&lt;0,MAX(AC$227,-AB$232),0))</f>
        <v>0</v>
      </c>
      <c r="AD231" s="178">
        <f>IF('Financial Inputs'!$P$66="as generated",0,IF(AD$227&lt;0,MAX(AD$227,-AC$232),0))</f>
        <v>0</v>
      </c>
      <c r="AE231" s="178">
        <f>IF('Financial Inputs'!$P$66="as generated",0,IF(AE$227&lt;0,MAX(AE$227,-AD$232),0))</f>
        <v>0</v>
      </c>
      <c r="AF231" s="178">
        <f>IF('Financial Inputs'!$P$66="as generated",0,IF(AF$227&lt;0,MAX(AF$227,-AE$232),0))</f>
        <v>0</v>
      </c>
      <c r="AG231" s="178">
        <f>IF('Financial Inputs'!$P$66="as generated",0,IF(AG$227&lt;0,MAX(AG$227,-AF$232),0))</f>
        <v>0</v>
      </c>
      <c r="AH231" s="178">
        <f>IF('Financial Inputs'!$P$66="as generated",0,IF(AH$227&lt;0,MAX(AH$227,-AG$232),0))</f>
        <v>0</v>
      </c>
      <c r="AI231" s="178">
        <f>IF('Financial Inputs'!$P$66="as generated",0,IF(AI$227&lt;0,MAX(AI$227,-AH$232),0))</f>
        <v>0</v>
      </c>
      <c r="AJ231" s="178">
        <f>IF('Financial Inputs'!$P$66="as generated",0,IF(AJ$227&lt;0,MAX(AJ$227,-AI$232),0))</f>
        <v>0</v>
      </c>
    </row>
    <row r="232" spans="2:36" s="1" customFormat="1" x14ac:dyDescent="0.2">
      <c r="B232" s="161" t="s">
        <v>185</v>
      </c>
      <c r="C232" s="161"/>
      <c r="D232" s="161"/>
      <c r="E232" s="161"/>
      <c r="F232" s="178">
        <v>0</v>
      </c>
      <c r="G232" s="178">
        <f>SUM(G229:G231)</f>
        <v>0</v>
      </c>
      <c r="H232" s="178">
        <f t="shared" ref="H232:AJ232" si="68">SUM(H229:H231)</f>
        <v>0</v>
      </c>
      <c r="I232" s="178">
        <f t="shared" si="68"/>
        <v>0</v>
      </c>
      <c r="J232" s="178">
        <f t="shared" si="68"/>
        <v>0</v>
      </c>
      <c r="K232" s="178">
        <f t="shared" si="68"/>
        <v>0</v>
      </c>
      <c r="L232" s="178">
        <f t="shared" si="68"/>
        <v>0</v>
      </c>
      <c r="M232" s="178">
        <f t="shared" si="68"/>
        <v>0</v>
      </c>
      <c r="N232" s="178">
        <f t="shared" si="68"/>
        <v>0</v>
      </c>
      <c r="O232" s="178">
        <f t="shared" si="68"/>
        <v>0</v>
      </c>
      <c r="P232" s="178">
        <f t="shared" si="68"/>
        <v>0</v>
      </c>
      <c r="Q232" s="178">
        <f t="shared" si="68"/>
        <v>0</v>
      </c>
      <c r="R232" s="178">
        <f t="shared" si="68"/>
        <v>0</v>
      </c>
      <c r="S232" s="178">
        <f t="shared" si="68"/>
        <v>0</v>
      </c>
      <c r="T232" s="178">
        <f t="shared" si="68"/>
        <v>0</v>
      </c>
      <c r="U232" s="178">
        <f t="shared" si="68"/>
        <v>0</v>
      </c>
      <c r="V232" s="178">
        <f t="shared" si="68"/>
        <v>0</v>
      </c>
      <c r="W232" s="178">
        <f t="shared" si="68"/>
        <v>0</v>
      </c>
      <c r="X232" s="178">
        <f t="shared" si="68"/>
        <v>0</v>
      </c>
      <c r="Y232" s="178">
        <f t="shared" si="68"/>
        <v>0</v>
      </c>
      <c r="Z232" s="178">
        <f t="shared" si="68"/>
        <v>0</v>
      </c>
      <c r="AA232" s="178">
        <f t="shared" si="68"/>
        <v>0</v>
      </c>
      <c r="AB232" s="178">
        <f t="shared" si="68"/>
        <v>0</v>
      </c>
      <c r="AC232" s="178">
        <f t="shared" si="68"/>
        <v>0</v>
      </c>
      <c r="AD232" s="178">
        <f t="shared" si="68"/>
        <v>0</v>
      </c>
      <c r="AE232" s="178">
        <f t="shared" si="68"/>
        <v>0</v>
      </c>
      <c r="AF232" s="178">
        <f t="shared" si="68"/>
        <v>0</v>
      </c>
      <c r="AG232" s="178">
        <f t="shared" si="68"/>
        <v>0</v>
      </c>
      <c r="AH232" s="178">
        <f t="shared" si="68"/>
        <v>0</v>
      </c>
      <c r="AI232" s="178">
        <f t="shared" si="68"/>
        <v>0</v>
      </c>
      <c r="AJ232" s="178">
        <f t="shared" si="68"/>
        <v>0</v>
      </c>
    </row>
    <row r="233" spans="2:36" s="1" customFormat="1" ht="16.5" thickBot="1" x14ac:dyDescent="0.3">
      <c r="B233" s="180"/>
      <c r="C233" s="180"/>
      <c r="D233" s="180"/>
      <c r="E233" s="180"/>
      <c r="F233" s="180"/>
      <c r="G233" s="181"/>
      <c r="H233" s="182"/>
      <c r="I233" s="180"/>
      <c r="J233" s="180"/>
      <c r="K233" s="180"/>
      <c r="L233" s="180"/>
      <c r="M233" s="180"/>
      <c r="N233" s="180"/>
      <c r="O233" s="180"/>
      <c r="P233" s="180"/>
      <c r="Q233" s="180"/>
      <c r="R233" s="180"/>
      <c r="S233" s="180"/>
      <c r="T233" s="180"/>
      <c r="U233" s="180"/>
      <c r="V233" s="180"/>
      <c r="W233" s="180"/>
      <c r="X233" s="180"/>
      <c r="Y233" s="180"/>
      <c r="Z233" s="180"/>
      <c r="AA233" s="180"/>
      <c r="AB233" s="180"/>
      <c r="AC233" s="180"/>
      <c r="AD233" s="180"/>
      <c r="AE233" s="180"/>
      <c r="AF233" s="180"/>
      <c r="AG233" s="180"/>
      <c r="AH233" s="180"/>
      <c r="AI233" s="180"/>
      <c r="AJ233" s="180"/>
    </row>
    <row r="234" spans="2:36" x14ac:dyDescent="0.25">
      <c r="B234" s="199"/>
      <c r="C234" s="199"/>
      <c r="D234" s="199"/>
      <c r="E234" s="199"/>
      <c r="F234" s="199"/>
      <c r="G234" s="199"/>
      <c r="H234" s="199"/>
      <c r="I234" s="199"/>
      <c r="J234" s="199"/>
      <c r="K234" s="199"/>
      <c r="L234" s="199"/>
      <c r="M234" s="199"/>
      <c r="N234" s="199"/>
      <c r="O234" s="199"/>
      <c r="P234" s="199"/>
      <c r="Q234" s="199"/>
      <c r="R234" s="199"/>
      <c r="S234" s="199"/>
      <c r="T234" s="199"/>
      <c r="U234" s="199"/>
      <c r="V234" s="199"/>
      <c r="W234" s="199"/>
      <c r="X234" s="199"/>
      <c r="Y234" s="199"/>
      <c r="Z234" s="199"/>
      <c r="AA234" s="199"/>
      <c r="AB234" s="199"/>
      <c r="AC234" s="199"/>
      <c r="AD234" s="199"/>
      <c r="AE234" s="199"/>
      <c r="AF234" s="199"/>
      <c r="AG234" s="199"/>
      <c r="AH234" s="199"/>
      <c r="AI234" s="199"/>
      <c r="AJ234" s="199"/>
    </row>
    <row r="235" spans="2:36" ht="15.75" x14ac:dyDescent="0.25">
      <c r="B235" s="160" t="s">
        <v>833</v>
      </c>
      <c r="F235" s="252"/>
    </row>
    <row r="236" spans="2:36" ht="15.75" x14ac:dyDescent="0.25">
      <c r="B236" s="161" t="s">
        <v>66</v>
      </c>
      <c r="F236" s="409">
        <v>0</v>
      </c>
      <c r="G236" s="409">
        <f>F238</f>
        <v>190565.14615855354</v>
      </c>
      <c r="H236" s="409">
        <f>G238*(1+'Financial Inputs'!$P$51)</f>
        <v>198278.34525481801</v>
      </c>
      <c r="I236" s="409">
        <f>H238*(1+'Financial Inputs'!$P$51)</f>
        <v>206303.73911228561</v>
      </c>
      <c r="J236" s="409">
        <f>I238*(1+'Financial Inputs'!$P$51)</f>
        <v>214653.96393646672</v>
      </c>
      <c r="K236" s="409">
        <f>J238*(1+'Financial Inputs'!$P$51)</f>
        <v>223342.16738825003</v>
      </c>
      <c r="L236" s="409">
        <f>K238*(1+'Financial Inputs'!$P$51)</f>
        <v>232382.02928525975</v>
      </c>
      <c r="M236" s="409">
        <f>L238*(1+'Financial Inputs'!$P$51)</f>
        <v>241787.78314110835</v>
      </c>
      <c r="N236" s="409">
        <f>M238*(1+'Financial Inputs'!$P$51)</f>
        <v>251574.23857645909</v>
      </c>
      <c r="O236" s="409">
        <f>N238*(1+'Financial Inputs'!$P$51)</f>
        <v>261756.80463718501</v>
      </c>
      <c r="P236" s="409">
        <f>O238*(1+'Financial Inputs'!$P$51)</f>
        <v>272351.51405633963</v>
      </c>
      <c r="Q236" s="409">
        <f>P238*(1+'Financial Inputs'!$P$51)</f>
        <v>283375.04849814042</v>
      </c>
      <c r="R236" s="409">
        <f>Q238*(1+'Financial Inputs'!$P$51)</f>
        <v>294844.76482371229</v>
      </c>
      <c r="S236" s="409">
        <f>R238*(1+'Financial Inputs'!$P$51)</f>
        <v>306778.72241994762</v>
      </c>
      <c r="T236" s="409">
        <f>S238*(1+'Financial Inputs'!$P$51)</f>
        <v>319195.71163451229</v>
      </c>
      <c r="U236" s="409">
        <f>T238*(1+'Financial Inputs'!$P$51)</f>
        <v>332115.28336177015</v>
      </c>
      <c r="V236" s="409">
        <f>U238*(1+'Financial Inputs'!$P$51)</f>
        <v>345557.77982620895</v>
      </c>
      <c r="W236" s="409">
        <f>V238*(1+'Financial Inputs'!$P$51)</f>
        <v>359544.36661183788</v>
      </c>
      <c r="X236" s="409">
        <f>W238*(1+'Financial Inputs'!$P$51)</f>
        <v>374097.06598798727</v>
      </c>
      <c r="Y236" s="409">
        <f>X238*(1+'Financial Inputs'!$P$51)</f>
        <v>389238.79158398346</v>
      </c>
      <c r="Z236" s="409">
        <f>Y238*(1+'Financial Inputs'!$P$51)</f>
        <v>404993.38446729438</v>
      </c>
      <c r="AA236" s="409">
        <f>Z238*(1+'Financial Inputs'!$P$51)</f>
        <v>0</v>
      </c>
      <c r="AB236" s="409">
        <f>AA238*(1+'Financial Inputs'!$P$51)</f>
        <v>0</v>
      </c>
      <c r="AC236" s="409">
        <f>AB238*(1+'Financial Inputs'!$P$51)</f>
        <v>0</v>
      </c>
      <c r="AD236" s="409">
        <f>AC238*(1+'Financial Inputs'!$P$51)</f>
        <v>0</v>
      </c>
      <c r="AE236" s="409">
        <f>AD238*(1+'Financial Inputs'!$P$51)</f>
        <v>0</v>
      </c>
      <c r="AF236" s="409">
        <f>AE238*(1+'Financial Inputs'!$P$51)</f>
        <v>0</v>
      </c>
      <c r="AG236" s="409">
        <f>AF238*(1+'Financial Inputs'!$P$51)</f>
        <v>0</v>
      </c>
      <c r="AH236" s="409">
        <f>AG238*(1+'Financial Inputs'!$P$51)</f>
        <v>0</v>
      </c>
      <c r="AI236" s="409">
        <f>AH238*(1+'Financial Inputs'!$P$51)</f>
        <v>0</v>
      </c>
      <c r="AJ236" s="409">
        <f>AI238*(1+'Financial Inputs'!$P$51)</f>
        <v>0</v>
      </c>
    </row>
    <row r="237" spans="2:36" ht="15.75" x14ac:dyDescent="0.25">
      <c r="B237" s="965" t="s">
        <v>831</v>
      </c>
      <c r="F237" s="409">
        <f>'Financial Inputs'!$P$50</f>
        <v>190565.14615855354</v>
      </c>
      <c r="G237" s="409">
        <f>IF(G$2='Financial Inputs'!$G$24,-G$236,0)</f>
        <v>0</v>
      </c>
      <c r="H237" s="409">
        <f>IF(H$2='Financial Inputs'!$G$24,-H$236,0)</f>
        <v>0</v>
      </c>
      <c r="I237" s="409">
        <f>IF(I$2='Financial Inputs'!$G$24,-I$236,0)</f>
        <v>0</v>
      </c>
      <c r="J237" s="409">
        <f>IF(J$2='Financial Inputs'!$G$24,-J$236,0)</f>
        <v>0</v>
      </c>
      <c r="K237" s="409">
        <f>IF(K$2='Financial Inputs'!$G$24,-K$236,0)</f>
        <v>0</v>
      </c>
      <c r="L237" s="409">
        <f>IF(L$2='Financial Inputs'!$G$24,-L$236,0)</f>
        <v>0</v>
      </c>
      <c r="M237" s="409">
        <f>IF(M$2='Financial Inputs'!$G$24,-M$236,0)</f>
        <v>0</v>
      </c>
      <c r="N237" s="409">
        <f>IF(N$2='Financial Inputs'!$G$24,-N$236,0)</f>
        <v>0</v>
      </c>
      <c r="O237" s="409">
        <f>IF(O$2='Financial Inputs'!$G$24,-O$236,0)</f>
        <v>0</v>
      </c>
      <c r="P237" s="409">
        <f>IF(P$2='Financial Inputs'!$G$24,-P$236,0)</f>
        <v>0</v>
      </c>
      <c r="Q237" s="409">
        <f>IF(Q$2='Financial Inputs'!$G$24,-Q$236,0)</f>
        <v>0</v>
      </c>
      <c r="R237" s="409">
        <f>IF(R$2='Financial Inputs'!$G$24,-R$236,0)</f>
        <v>0</v>
      </c>
      <c r="S237" s="409">
        <f>IF(S$2='Financial Inputs'!$G$24,-S$236,0)</f>
        <v>0</v>
      </c>
      <c r="T237" s="409">
        <f>IF(T$2='Financial Inputs'!$G$24,-T$236,0)</f>
        <v>0</v>
      </c>
      <c r="U237" s="409">
        <f>IF(U$2='Financial Inputs'!$G$24,-U$236,0)</f>
        <v>0</v>
      </c>
      <c r="V237" s="409">
        <f>IF(V$2='Financial Inputs'!$G$24,-V$236,0)</f>
        <v>0</v>
      </c>
      <c r="W237" s="409">
        <f>IF(W$2='Financial Inputs'!$G$24,-W$236,0)</f>
        <v>0</v>
      </c>
      <c r="X237" s="409">
        <f>IF(X$2='Financial Inputs'!$G$24,-X$236,0)</f>
        <v>0</v>
      </c>
      <c r="Y237" s="409">
        <f>IF(Y$2='Financial Inputs'!$G$24,-Y$236,0)</f>
        <v>0</v>
      </c>
      <c r="Z237" s="409">
        <f>IF(Z$2='Financial Inputs'!$G$24,-Z$236,0)</f>
        <v>-404993.38446729438</v>
      </c>
      <c r="AA237" s="409">
        <f>IF(AA$2='Financial Inputs'!$G$24,-AA$236,0)</f>
        <v>0</v>
      </c>
      <c r="AB237" s="409">
        <f>IF(AB$2='Financial Inputs'!$G$24,-AB$236,0)</f>
        <v>0</v>
      </c>
      <c r="AC237" s="409">
        <f>IF(AC$2='Financial Inputs'!$G$24,-AC$236,0)</f>
        <v>0</v>
      </c>
      <c r="AD237" s="409">
        <f>IF(AD$2='Financial Inputs'!$G$24,-AD$236,0)</f>
        <v>0</v>
      </c>
      <c r="AE237" s="409">
        <f>IF(AE$2='Financial Inputs'!$G$24,-AE$236,0)</f>
        <v>0</v>
      </c>
      <c r="AF237" s="409">
        <f>IF(AF$2='Financial Inputs'!$G$24,-AF$236,0)</f>
        <v>0</v>
      </c>
      <c r="AG237" s="409">
        <f>IF(AG$2='Financial Inputs'!$G$24,-AG$236,0)</f>
        <v>0</v>
      </c>
      <c r="AH237" s="409">
        <f>IF(AH$2='Financial Inputs'!$G$24,-AH$236,0)</f>
        <v>0</v>
      </c>
      <c r="AI237" s="409">
        <f>IF(AI$2='Financial Inputs'!$G$24,-AI$236,0)</f>
        <v>0</v>
      </c>
      <c r="AJ237" s="409">
        <f>IF(AJ$2='Financial Inputs'!$G$24,-AJ$236,0)</f>
        <v>0</v>
      </c>
    </row>
    <row r="238" spans="2:36" ht="15.75" x14ac:dyDescent="0.25">
      <c r="B238" s="161" t="s">
        <v>68</v>
      </c>
      <c r="F238" s="409">
        <f>F236+F237</f>
        <v>190565.14615855354</v>
      </c>
      <c r="G238" s="409">
        <f>G236+G237</f>
        <v>190565.14615855354</v>
      </c>
      <c r="H238" s="409">
        <f t="shared" ref="H238:AJ238" si="69">H236+H237</f>
        <v>198278.34525481801</v>
      </c>
      <c r="I238" s="409">
        <f t="shared" si="69"/>
        <v>206303.73911228561</v>
      </c>
      <c r="J238" s="409">
        <f t="shared" si="69"/>
        <v>214653.96393646672</v>
      </c>
      <c r="K238" s="409">
        <f t="shared" si="69"/>
        <v>223342.16738825003</v>
      </c>
      <c r="L238" s="409">
        <f t="shared" si="69"/>
        <v>232382.02928525975</v>
      </c>
      <c r="M238" s="409">
        <f t="shared" si="69"/>
        <v>241787.78314110835</v>
      </c>
      <c r="N238" s="409">
        <f t="shared" si="69"/>
        <v>251574.23857645909</v>
      </c>
      <c r="O238" s="409">
        <f t="shared" si="69"/>
        <v>261756.80463718501</v>
      </c>
      <c r="P238" s="409">
        <f t="shared" si="69"/>
        <v>272351.51405633963</v>
      </c>
      <c r="Q238" s="409">
        <f t="shared" si="69"/>
        <v>283375.04849814042</v>
      </c>
      <c r="R238" s="409">
        <f t="shared" si="69"/>
        <v>294844.76482371229</v>
      </c>
      <c r="S238" s="409">
        <f t="shared" si="69"/>
        <v>306778.72241994762</v>
      </c>
      <c r="T238" s="409">
        <f t="shared" si="69"/>
        <v>319195.71163451229</v>
      </c>
      <c r="U238" s="409">
        <f t="shared" si="69"/>
        <v>332115.28336177015</v>
      </c>
      <c r="V238" s="409">
        <f t="shared" si="69"/>
        <v>345557.77982620895</v>
      </c>
      <c r="W238" s="409">
        <f t="shared" si="69"/>
        <v>359544.36661183788</v>
      </c>
      <c r="X238" s="409">
        <f t="shared" si="69"/>
        <v>374097.06598798727</v>
      </c>
      <c r="Y238" s="409">
        <f t="shared" si="69"/>
        <v>389238.79158398346</v>
      </c>
      <c r="Z238" s="409">
        <f t="shared" si="69"/>
        <v>0</v>
      </c>
      <c r="AA238" s="409">
        <f t="shared" si="69"/>
        <v>0</v>
      </c>
      <c r="AB238" s="409">
        <f t="shared" si="69"/>
        <v>0</v>
      </c>
      <c r="AC238" s="409">
        <f t="shared" si="69"/>
        <v>0</v>
      </c>
      <c r="AD238" s="409">
        <f t="shared" si="69"/>
        <v>0</v>
      </c>
      <c r="AE238" s="409">
        <f t="shared" si="69"/>
        <v>0</v>
      </c>
      <c r="AF238" s="409">
        <f t="shared" si="69"/>
        <v>0</v>
      </c>
      <c r="AG238" s="409">
        <f t="shared" si="69"/>
        <v>0</v>
      </c>
      <c r="AH238" s="409">
        <f t="shared" si="69"/>
        <v>0</v>
      </c>
      <c r="AI238" s="409">
        <f t="shared" si="69"/>
        <v>0</v>
      </c>
      <c r="AJ238" s="409">
        <f t="shared" si="69"/>
        <v>0</v>
      </c>
    </row>
    <row r="239" spans="2:36" x14ac:dyDescent="0.25">
      <c r="F239" s="252"/>
    </row>
    <row r="240" spans="2:36" x14ac:dyDescent="0.25">
      <c r="F240" s="252"/>
    </row>
    <row r="241" spans="6:6" x14ac:dyDescent="0.25">
      <c r="F241" s="252"/>
    </row>
  </sheetData>
  <sheetProtection sheet="1" objects="1" scenarios="1"/>
  <mergeCells count="3">
    <mergeCell ref="C138:E138"/>
    <mergeCell ref="B69:C69"/>
    <mergeCell ref="B72:C72"/>
  </mergeCells>
  <conditionalFormatting sqref="B17:B19">
    <cfRule type="expression" dxfId="12" priority="1">
      <formula>$G$30="Simple"</formula>
    </cfRule>
  </conditionalFormatting>
  <dataValidations disablePrompts="1" count="1">
    <dataValidation type="list" allowBlank="1" showInputMessage="1" showErrorMessage="1" sqref="E65636 HW65636 RS65636 ABO65636 ALK65636 AVG65636 BFC65636 BOY65636 BYU65636 CIQ65636 CSM65636 DCI65636 DME65636 DWA65636 EFW65636 EPS65636 EZO65636 FJK65636 FTG65636 GDC65636 GMY65636 GWU65636 HGQ65636 HQM65636 IAI65636 IKE65636 IUA65636 JDW65636 JNS65636 JXO65636 KHK65636 KRG65636 LBC65636 LKY65636 LUU65636 MEQ65636 MOM65636 MYI65636 NIE65636 NSA65636 OBW65636 OLS65636 OVO65636 PFK65636 PPG65636 PZC65636 QIY65636 QSU65636 RCQ65636 RMM65636 RWI65636 SGE65636 SQA65636 SZW65636 TJS65636 TTO65636 UDK65636 UNG65636 UXC65636 VGY65636 VQU65636 WAQ65636 WKM65636 WUI65636 HW131172 RS131172 ABO131172 ALK131172 AVG131172 BFC131172 BOY131172 BYU131172 CIQ131172 CSM131172 DCI131172 DME131172 DWA131172 EFW131172 EPS131172 EZO131172 FJK131172 FTG131172 GDC131172 GMY131172 GWU131172 HGQ131172 HQM131172 IAI131172 IKE131172 IUA131172 JDW131172 JNS131172 JXO131172 KHK131172 KRG131172 LBC131172 LKY131172 LUU131172 MEQ131172 MOM131172 MYI131172 NIE131172 NSA131172 OBW131172 OLS131172 OVO131172 PFK131172 PPG131172 PZC131172 QIY131172 QSU131172 RCQ131172 RMM131172 RWI131172 SGE131172 SQA131172 SZW131172 TJS131172 TTO131172 UDK131172 UNG131172 UXC131172 VGY131172 VQU131172 WAQ131172 WKM131172 WUI131172 HW196708 RS196708 ABO196708 ALK196708 AVG196708 BFC196708 BOY196708 BYU196708 CIQ196708 CSM196708 DCI196708 DME196708 DWA196708 EFW196708 EPS196708 EZO196708 FJK196708 FTG196708 GDC196708 GMY196708 GWU196708 HGQ196708 HQM196708 IAI196708 IKE196708 IUA196708 JDW196708 JNS196708 JXO196708 KHK196708 KRG196708 LBC196708 LKY196708 LUU196708 MEQ196708 MOM196708 MYI196708 NIE196708 NSA196708 OBW196708 OLS196708 OVO196708 PFK196708 PPG196708 PZC196708 QIY196708 QSU196708 RCQ196708 RMM196708 RWI196708 SGE196708 SQA196708 SZW196708 TJS196708 TTO196708 UDK196708 UNG196708 UXC196708 VGY196708 VQU196708 WAQ196708 WKM196708 WUI196708 HW262244 RS262244 ABO262244 ALK262244 AVG262244 BFC262244 BOY262244 BYU262244 CIQ262244 CSM262244 DCI262244 DME262244 DWA262244 EFW262244 EPS262244 EZO262244 FJK262244 FTG262244 GDC262244 GMY262244 GWU262244 HGQ262244 HQM262244 IAI262244 IKE262244 IUA262244 JDW262244 JNS262244 JXO262244 KHK262244 KRG262244 LBC262244 LKY262244 LUU262244 MEQ262244 MOM262244 MYI262244 NIE262244 NSA262244 OBW262244 OLS262244 OVO262244 PFK262244 PPG262244 PZC262244 QIY262244 QSU262244 RCQ262244 RMM262244 RWI262244 SGE262244 SQA262244 SZW262244 TJS262244 TTO262244 UDK262244 UNG262244 UXC262244 VGY262244 VQU262244 WAQ262244 WKM262244 WUI262244 HW327780 RS327780 ABO327780 ALK327780 AVG327780 BFC327780 BOY327780 BYU327780 CIQ327780 CSM327780 DCI327780 DME327780 DWA327780 EFW327780 EPS327780 EZO327780 FJK327780 FTG327780 GDC327780 GMY327780 GWU327780 HGQ327780 HQM327780 IAI327780 IKE327780 IUA327780 JDW327780 JNS327780 JXO327780 KHK327780 KRG327780 LBC327780 LKY327780 LUU327780 MEQ327780 MOM327780 MYI327780 NIE327780 NSA327780 OBW327780 OLS327780 OVO327780 PFK327780 PPG327780 PZC327780 QIY327780 QSU327780 RCQ327780 RMM327780 RWI327780 SGE327780 SQA327780 SZW327780 TJS327780 TTO327780 UDK327780 UNG327780 UXC327780 VGY327780 VQU327780 WAQ327780 WKM327780 WUI327780 HW393316 RS393316 ABO393316 ALK393316 AVG393316 BFC393316 BOY393316 BYU393316 CIQ393316 CSM393316 DCI393316 DME393316 DWA393316 EFW393316 EPS393316 EZO393316 FJK393316 FTG393316 GDC393316 GMY393316 GWU393316 HGQ393316 HQM393316 IAI393316 IKE393316 IUA393316 JDW393316 JNS393316 JXO393316 KHK393316 KRG393316 LBC393316 LKY393316 LUU393316 MEQ393316 MOM393316 MYI393316 NIE393316 NSA393316 OBW393316 OLS393316 OVO393316 PFK393316 PPG393316 PZC393316 QIY393316 QSU393316 RCQ393316 RMM393316 RWI393316 SGE393316 SQA393316 SZW393316 TJS393316 TTO393316 UDK393316 UNG393316 UXC393316 VGY393316 VQU393316 WAQ393316 WKM393316 WUI393316 HW458852 RS458852 ABO458852 ALK458852 AVG458852 BFC458852 BOY458852 BYU458852 CIQ458852 CSM458852 DCI458852 DME458852 DWA458852 EFW458852 EPS458852 EZO458852 FJK458852 FTG458852 GDC458852 GMY458852 GWU458852 HGQ458852 HQM458852 IAI458852 IKE458852 IUA458852 JDW458852 JNS458852 JXO458852 KHK458852 KRG458852 LBC458852 LKY458852 LUU458852 MEQ458852 MOM458852 MYI458852 NIE458852 NSA458852 OBW458852 OLS458852 OVO458852 PFK458852 PPG458852 PZC458852 QIY458852 QSU458852 RCQ458852 RMM458852 RWI458852 SGE458852 SQA458852 SZW458852 TJS458852 TTO458852 UDK458852 UNG458852 UXC458852 VGY458852 VQU458852 WAQ458852 WKM458852 WUI458852 HW524388 RS524388 ABO524388 ALK524388 AVG524388 BFC524388 BOY524388 BYU524388 CIQ524388 CSM524388 DCI524388 DME524388 DWA524388 EFW524388 EPS524388 EZO524388 FJK524388 FTG524388 GDC524388 GMY524388 GWU524388 HGQ524388 HQM524388 IAI524388 IKE524388 IUA524388 JDW524388 JNS524388 JXO524388 KHK524388 KRG524388 LBC524388 LKY524388 LUU524388 MEQ524388 MOM524388 MYI524388 NIE524388 NSA524388 OBW524388 OLS524388 OVO524388 PFK524388 PPG524388 PZC524388 QIY524388 QSU524388 RCQ524388 RMM524388 RWI524388 SGE524388 SQA524388 SZW524388 TJS524388 TTO524388 UDK524388 UNG524388 UXC524388 VGY524388 VQU524388 WAQ524388 WKM524388 WUI524388 HW589924 RS589924 ABO589924 ALK589924 AVG589924 BFC589924 BOY589924 BYU589924 CIQ589924 CSM589924 DCI589924 DME589924 DWA589924 EFW589924 EPS589924 EZO589924 FJK589924 FTG589924 GDC589924 GMY589924 GWU589924 HGQ589924 HQM589924 IAI589924 IKE589924 IUA589924 JDW589924 JNS589924 JXO589924 KHK589924 KRG589924 LBC589924 LKY589924 LUU589924 MEQ589924 MOM589924 MYI589924 NIE589924 NSA589924 OBW589924 OLS589924 OVO589924 PFK589924 PPG589924 PZC589924 QIY589924 QSU589924 RCQ589924 RMM589924 RWI589924 SGE589924 SQA589924 SZW589924 TJS589924 TTO589924 UDK589924 UNG589924 UXC589924 VGY589924 VQU589924 WAQ589924 WKM589924 WUI589924 HW655460 RS655460 ABO655460 ALK655460 AVG655460 BFC655460 BOY655460 BYU655460 CIQ655460 CSM655460 DCI655460 DME655460 DWA655460 EFW655460 EPS655460 EZO655460 FJK655460 FTG655460 GDC655460 GMY655460 GWU655460 HGQ655460 HQM655460 IAI655460 IKE655460 IUA655460 JDW655460 JNS655460 JXO655460 KHK655460 KRG655460 LBC655460 LKY655460 LUU655460 MEQ655460 MOM655460 MYI655460 NIE655460 NSA655460 OBW655460 OLS655460 OVO655460 PFK655460 PPG655460 PZC655460 QIY655460 QSU655460 RCQ655460 RMM655460 RWI655460 SGE655460 SQA655460 SZW655460 TJS655460 TTO655460 UDK655460 UNG655460 UXC655460 VGY655460 VQU655460 WAQ655460 WKM655460 WUI655460 HW720996 RS720996 ABO720996 ALK720996 AVG720996 BFC720996 BOY720996 BYU720996 CIQ720996 CSM720996 DCI720996 DME720996 DWA720996 EFW720996 EPS720996 EZO720996 FJK720996 FTG720996 GDC720996 GMY720996 GWU720996 HGQ720996 HQM720996 IAI720996 IKE720996 IUA720996 JDW720996 JNS720996 JXO720996 KHK720996 KRG720996 LBC720996 LKY720996 LUU720996 MEQ720996 MOM720996 MYI720996 NIE720996 NSA720996 OBW720996 OLS720996 OVO720996 PFK720996 PPG720996 PZC720996 QIY720996 QSU720996 RCQ720996 RMM720996 RWI720996 SGE720996 SQA720996 SZW720996 TJS720996 TTO720996 UDK720996 UNG720996 UXC720996 VGY720996 VQU720996 WAQ720996 WKM720996 WUI720996 HW786532 RS786532 ABO786532 ALK786532 AVG786532 BFC786532 BOY786532 BYU786532 CIQ786532 CSM786532 DCI786532 DME786532 DWA786532 EFW786532 EPS786532 EZO786532 FJK786532 FTG786532 GDC786532 GMY786532 GWU786532 HGQ786532 HQM786532 IAI786532 IKE786532 IUA786532 JDW786532 JNS786532 JXO786532 KHK786532 KRG786532 LBC786532 LKY786532 LUU786532 MEQ786532 MOM786532 MYI786532 NIE786532 NSA786532 OBW786532 OLS786532 OVO786532 PFK786532 PPG786532 PZC786532 QIY786532 QSU786532 RCQ786532 RMM786532 RWI786532 SGE786532 SQA786532 SZW786532 TJS786532 TTO786532 UDK786532 UNG786532 UXC786532 VGY786532 VQU786532 WAQ786532 WKM786532 WUI786532 HW852068 RS852068 ABO852068 ALK852068 AVG852068 BFC852068 BOY852068 BYU852068 CIQ852068 CSM852068 DCI852068 DME852068 DWA852068 EFW852068 EPS852068 EZO852068 FJK852068 FTG852068 GDC852068 GMY852068 GWU852068 HGQ852068 HQM852068 IAI852068 IKE852068 IUA852068 JDW852068 JNS852068 JXO852068 KHK852068 KRG852068 LBC852068 LKY852068 LUU852068 MEQ852068 MOM852068 MYI852068 NIE852068 NSA852068 OBW852068 OLS852068 OVO852068 PFK852068 PPG852068 PZC852068 QIY852068 QSU852068 RCQ852068 RMM852068 RWI852068 SGE852068 SQA852068 SZW852068 TJS852068 TTO852068 UDK852068 UNG852068 UXC852068 VGY852068 VQU852068 WAQ852068 WKM852068 WUI852068 HW917604 RS917604 ABO917604 ALK917604 AVG917604 BFC917604 BOY917604 BYU917604 CIQ917604 CSM917604 DCI917604 DME917604 DWA917604 EFW917604 EPS917604 EZO917604 FJK917604 FTG917604 GDC917604 GMY917604 GWU917604 HGQ917604 HQM917604 IAI917604 IKE917604 IUA917604 JDW917604 JNS917604 JXO917604 KHK917604 KRG917604 LBC917604 LKY917604 LUU917604 MEQ917604 MOM917604 MYI917604 NIE917604 NSA917604 OBW917604 OLS917604 OVO917604 PFK917604 PPG917604 PZC917604 QIY917604 QSU917604 RCQ917604 RMM917604 RWI917604 SGE917604 SQA917604 SZW917604 TJS917604 TTO917604 UDK917604 UNG917604 UXC917604 VGY917604 VQU917604 WAQ917604 WKM917604 WUI917604 HW983140 RS983140 ABO983140 ALK983140 AVG983140 BFC983140 BOY983140 BYU983140 CIQ983140 CSM983140 DCI983140 DME983140 DWA983140 EFW983140 EPS983140 EZO983140 FJK983140 FTG983140 GDC983140 GMY983140 GWU983140 HGQ983140 HQM983140 IAI983140 IKE983140 IUA983140 JDW983140 JNS983140 JXO983140 KHK983140 KRG983140 LBC983140 LKY983140 LUU983140 MEQ983140 MOM983140 MYI983140 NIE983140 NSA983140 OBW983140 OLS983140 OVO983140 PFK983140 PPG983140 PZC983140 QIY983140 QSU983140 RCQ983140 RMM983140 RWI983140 SGE983140 SQA983140 SZW983140 TJS983140 TTO983140 UDK983140 UNG983140 UXC983140 VGY983140 VQU983140 WAQ983140 WKM983140 WUI983140 HW65647 RS65647 ABO65647 ALK65647 AVG65647 BFC65647 BOY65647 BYU65647 CIQ65647 CSM65647 DCI65647 DME65647 DWA65647 EFW65647 EPS65647 EZO65647 FJK65647 FTG65647 GDC65647 GMY65647 GWU65647 HGQ65647 HQM65647 IAI65647 IKE65647 IUA65647 JDW65647 JNS65647 JXO65647 KHK65647 KRG65647 LBC65647 LKY65647 LUU65647 MEQ65647 MOM65647 MYI65647 NIE65647 NSA65647 OBW65647 OLS65647 OVO65647 PFK65647 PPG65647 PZC65647 QIY65647 QSU65647 RCQ65647 RMM65647 RWI65647 SGE65647 SQA65647 SZW65647 TJS65647 TTO65647 UDK65647 UNG65647 UXC65647 VGY65647 VQU65647 WAQ65647 WKM65647 WUI65647 HW131183 RS131183 ABO131183 ALK131183 AVG131183 BFC131183 BOY131183 BYU131183 CIQ131183 CSM131183 DCI131183 DME131183 DWA131183 EFW131183 EPS131183 EZO131183 FJK131183 FTG131183 GDC131183 GMY131183 GWU131183 HGQ131183 HQM131183 IAI131183 IKE131183 IUA131183 JDW131183 JNS131183 JXO131183 KHK131183 KRG131183 LBC131183 LKY131183 LUU131183 MEQ131183 MOM131183 MYI131183 NIE131183 NSA131183 OBW131183 OLS131183 OVO131183 PFK131183 PPG131183 PZC131183 QIY131183 QSU131183 RCQ131183 RMM131183 RWI131183 SGE131183 SQA131183 SZW131183 TJS131183 TTO131183 UDK131183 UNG131183 UXC131183 VGY131183 VQU131183 WAQ131183 WKM131183 WUI131183 HW196719 RS196719 ABO196719 ALK196719 AVG196719 BFC196719 BOY196719 BYU196719 CIQ196719 CSM196719 DCI196719 DME196719 DWA196719 EFW196719 EPS196719 EZO196719 FJK196719 FTG196719 GDC196719 GMY196719 GWU196719 HGQ196719 HQM196719 IAI196719 IKE196719 IUA196719 JDW196719 JNS196719 JXO196719 KHK196719 KRG196719 LBC196719 LKY196719 LUU196719 MEQ196719 MOM196719 MYI196719 NIE196719 NSA196719 OBW196719 OLS196719 OVO196719 PFK196719 PPG196719 PZC196719 QIY196719 QSU196719 RCQ196719 RMM196719 RWI196719 SGE196719 SQA196719 SZW196719 TJS196719 TTO196719 UDK196719 UNG196719 UXC196719 VGY196719 VQU196719 WAQ196719 WKM196719 WUI196719 HW262255 RS262255 ABO262255 ALK262255 AVG262255 BFC262255 BOY262255 BYU262255 CIQ262255 CSM262255 DCI262255 DME262255 DWA262255 EFW262255 EPS262255 EZO262255 FJK262255 FTG262255 GDC262255 GMY262255 GWU262255 HGQ262255 HQM262255 IAI262255 IKE262255 IUA262255 JDW262255 JNS262255 JXO262255 KHK262255 KRG262255 LBC262255 LKY262255 LUU262255 MEQ262255 MOM262255 MYI262255 NIE262255 NSA262255 OBW262255 OLS262255 OVO262255 PFK262255 PPG262255 PZC262255 QIY262255 QSU262255 RCQ262255 RMM262255 RWI262255 SGE262255 SQA262255 SZW262255 TJS262255 TTO262255 UDK262255 UNG262255 UXC262255 VGY262255 VQU262255 WAQ262255 WKM262255 WUI262255 HW327791 RS327791 ABO327791 ALK327791 AVG327791 BFC327791 BOY327791 BYU327791 CIQ327791 CSM327791 DCI327791 DME327791 DWA327791 EFW327791 EPS327791 EZO327791 FJK327791 FTG327791 GDC327791 GMY327791 GWU327791 HGQ327791 HQM327791 IAI327791 IKE327791 IUA327791 JDW327791 JNS327791 JXO327791 KHK327791 KRG327791 LBC327791 LKY327791 LUU327791 MEQ327791 MOM327791 MYI327791 NIE327791 NSA327791 OBW327791 OLS327791 OVO327791 PFK327791 PPG327791 PZC327791 QIY327791 QSU327791 RCQ327791 RMM327791 RWI327791 SGE327791 SQA327791 SZW327791 TJS327791 TTO327791 UDK327791 UNG327791 UXC327791 VGY327791 VQU327791 WAQ327791 WKM327791 WUI327791 HW393327 RS393327 ABO393327 ALK393327 AVG393327 BFC393327 BOY393327 BYU393327 CIQ393327 CSM393327 DCI393327 DME393327 DWA393327 EFW393327 EPS393327 EZO393327 FJK393327 FTG393327 GDC393327 GMY393327 GWU393327 HGQ393327 HQM393327 IAI393327 IKE393327 IUA393327 JDW393327 JNS393327 JXO393327 KHK393327 KRG393327 LBC393327 LKY393327 LUU393327 MEQ393327 MOM393327 MYI393327 NIE393327 NSA393327 OBW393327 OLS393327 OVO393327 PFK393327 PPG393327 PZC393327 QIY393327 QSU393327 RCQ393327 RMM393327 RWI393327 SGE393327 SQA393327 SZW393327 TJS393327 TTO393327 UDK393327 UNG393327 UXC393327 VGY393327 VQU393327 WAQ393327 WKM393327 WUI393327 HW458863 RS458863 ABO458863 ALK458863 AVG458863 BFC458863 BOY458863 BYU458863 CIQ458863 CSM458863 DCI458863 DME458863 DWA458863 EFW458863 EPS458863 EZO458863 FJK458863 FTG458863 GDC458863 GMY458863 GWU458863 HGQ458863 HQM458863 IAI458863 IKE458863 IUA458863 JDW458863 JNS458863 JXO458863 KHK458863 KRG458863 LBC458863 LKY458863 LUU458863 MEQ458863 MOM458863 MYI458863 NIE458863 NSA458863 OBW458863 OLS458863 OVO458863 PFK458863 PPG458863 PZC458863 QIY458863 QSU458863 RCQ458863 RMM458863 RWI458863 SGE458863 SQA458863 SZW458863 TJS458863 TTO458863 UDK458863 UNG458863 UXC458863 VGY458863 VQU458863 WAQ458863 WKM458863 WUI458863 HW524399 RS524399 ABO524399 ALK524399 AVG524399 BFC524399 BOY524399 BYU524399 CIQ524399 CSM524399 DCI524399 DME524399 DWA524399 EFW524399 EPS524399 EZO524399 FJK524399 FTG524399 GDC524399 GMY524399 GWU524399 HGQ524399 HQM524399 IAI524399 IKE524399 IUA524399 JDW524399 JNS524399 JXO524399 KHK524399 KRG524399 LBC524399 LKY524399 LUU524399 MEQ524399 MOM524399 MYI524399 NIE524399 NSA524399 OBW524399 OLS524399 OVO524399 PFK524399 PPG524399 PZC524399 QIY524399 QSU524399 RCQ524399 RMM524399 RWI524399 SGE524399 SQA524399 SZW524399 TJS524399 TTO524399 UDK524399 UNG524399 UXC524399 VGY524399 VQU524399 WAQ524399 WKM524399 WUI524399 HW589935 RS589935 ABO589935 ALK589935 AVG589935 BFC589935 BOY589935 BYU589935 CIQ589935 CSM589935 DCI589935 DME589935 DWA589935 EFW589935 EPS589935 EZO589935 FJK589935 FTG589935 GDC589935 GMY589935 GWU589935 HGQ589935 HQM589935 IAI589935 IKE589935 IUA589935 JDW589935 JNS589935 JXO589935 KHK589935 KRG589935 LBC589935 LKY589935 LUU589935 MEQ589935 MOM589935 MYI589935 NIE589935 NSA589935 OBW589935 OLS589935 OVO589935 PFK589935 PPG589935 PZC589935 QIY589935 QSU589935 RCQ589935 RMM589935 RWI589935 SGE589935 SQA589935 SZW589935 TJS589935 TTO589935 UDK589935 UNG589935 UXC589935 VGY589935 VQU589935 WAQ589935 WKM589935 WUI589935 HW655471 RS655471 ABO655471 ALK655471 AVG655471 BFC655471 BOY655471 BYU655471 CIQ655471 CSM655471 DCI655471 DME655471 DWA655471 EFW655471 EPS655471 EZO655471 FJK655471 FTG655471 GDC655471 GMY655471 GWU655471 HGQ655471 HQM655471 IAI655471 IKE655471 IUA655471 JDW655471 JNS655471 JXO655471 KHK655471 KRG655471 LBC655471 LKY655471 LUU655471 MEQ655471 MOM655471 MYI655471 NIE655471 NSA655471 OBW655471 OLS655471 OVO655471 PFK655471 PPG655471 PZC655471 QIY655471 QSU655471 RCQ655471 RMM655471 RWI655471 SGE655471 SQA655471 SZW655471 TJS655471 TTO655471 UDK655471 UNG655471 UXC655471 VGY655471 VQU655471 WAQ655471 WKM655471 WUI655471 HW721007 RS721007 ABO721007 ALK721007 AVG721007 BFC721007 BOY721007 BYU721007 CIQ721007 CSM721007 DCI721007 DME721007 DWA721007 EFW721007 EPS721007 EZO721007 FJK721007 FTG721007 GDC721007 GMY721007 GWU721007 HGQ721007 HQM721007 IAI721007 IKE721007 IUA721007 JDW721007 JNS721007 JXO721007 KHK721007 KRG721007 LBC721007 LKY721007 LUU721007 MEQ721007 MOM721007 MYI721007 NIE721007 NSA721007 OBW721007 OLS721007 OVO721007 PFK721007 PPG721007 PZC721007 QIY721007 QSU721007 RCQ721007 RMM721007 RWI721007 SGE721007 SQA721007 SZW721007 TJS721007 TTO721007 UDK721007 UNG721007 UXC721007 VGY721007 VQU721007 WAQ721007 WKM721007 WUI721007 HW786543 RS786543 ABO786543 ALK786543 AVG786543 BFC786543 BOY786543 BYU786543 CIQ786543 CSM786543 DCI786543 DME786543 DWA786543 EFW786543 EPS786543 EZO786543 FJK786543 FTG786543 GDC786543 GMY786543 GWU786543 HGQ786543 HQM786543 IAI786543 IKE786543 IUA786543 JDW786543 JNS786543 JXO786543 KHK786543 KRG786543 LBC786543 LKY786543 LUU786543 MEQ786543 MOM786543 MYI786543 NIE786543 NSA786543 OBW786543 OLS786543 OVO786543 PFK786543 PPG786543 PZC786543 QIY786543 QSU786543 RCQ786543 RMM786543 RWI786543 SGE786543 SQA786543 SZW786543 TJS786543 TTO786543 UDK786543 UNG786543 UXC786543 VGY786543 VQU786543 WAQ786543 WKM786543 WUI786543 HW852079 RS852079 ABO852079 ALK852079 AVG852079 BFC852079 BOY852079 BYU852079 CIQ852079 CSM852079 DCI852079 DME852079 DWA852079 EFW852079 EPS852079 EZO852079 FJK852079 FTG852079 GDC852079 GMY852079 GWU852079 HGQ852079 HQM852079 IAI852079 IKE852079 IUA852079 JDW852079 JNS852079 JXO852079 KHK852079 KRG852079 LBC852079 LKY852079 LUU852079 MEQ852079 MOM852079 MYI852079 NIE852079 NSA852079 OBW852079 OLS852079 OVO852079 PFK852079 PPG852079 PZC852079 QIY852079 QSU852079 RCQ852079 RMM852079 RWI852079 SGE852079 SQA852079 SZW852079 TJS852079 TTO852079 UDK852079 UNG852079 UXC852079 VGY852079 VQU852079 WAQ852079 WKM852079 WUI852079 HW917615 RS917615 ABO917615 ALK917615 AVG917615 BFC917615 BOY917615 BYU917615 CIQ917615 CSM917615 DCI917615 DME917615 DWA917615 EFW917615 EPS917615 EZO917615 FJK917615 FTG917615 GDC917615 GMY917615 GWU917615 HGQ917615 HQM917615 IAI917615 IKE917615 IUA917615 JDW917615 JNS917615 JXO917615 KHK917615 KRG917615 LBC917615 LKY917615 LUU917615 MEQ917615 MOM917615 MYI917615 NIE917615 NSA917615 OBW917615 OLS917615 OVO917615 PFK917615 PPG917615 PZC917615 QIY917615 QSU917615 RCQ917615 RMM917615 RWI917615 SGE917615 SQA917615 SZW917615 TJS917615 TTO917615 UDK917615 UNG917615 UXC917615 VGY917615 VQU917615 WAQ917615 WKM917615 WUI917615 HW983151 RS983151 ABO983151 ALK983151 AVG983151 BFC983151 BOY983151 BYU983151 CIQ983151 CSM983151 DCI983151 DME983151 DWA983151 EFW983151 EPS983151 EZO983151 FJK983151 FTG983151 GDC983151 GMY983151 GWU983151 HGQ983151 HQM983151 IAI983151 IKE983151 IUA983151 JDW983151 JNS983151 JXO983151 KHK983151 KRG983151 LBC983151 LKY983151 LUU983151 MEQ983151 MOM983151 MYI983151 NIE983151 NSA983151 OBW983151 OLS983151 OVO983151 PFK983151 PPG983151 PZC983151 QIY983151 QSU983151 RCQ983151 RMM983151 RWI983151 SGE983151 SQA983151 SZW983151 TJS983151 TTO983151 UDK983151 UNG983151 UXC983151 VGY983151 VQU983151 WAQ983151 WKM983151 WUI983151 HW65642 RS65642 ABO65642 ALK65642 AVG65642 BFC65642 BOY65642 BYU65642 CIQ65642 CSM65642 DCI65642 DME65642 DWA65642 EFW65642 EPS65642 EZO65642 FJK65642 FTG65642 GDC65642 GMY65642 GWU65642 HGQ65642 HQM65642 IAI65642 IKE65642 IUA65642 JDW65642 JNS65642 JXO65642 KHK65642 KRG65642 LBC65642 LKY65642 LUU65642 MEQ65642 MOM65642 MYI65642 NIE65642 NSA65642 OBW65642 OLS65642 OVO65642 PFK65642 PPG65642 PZC65642 QIY65642 QSU65642 RCQ65642 RMM65642 RWI65642 SGE65642 SQA65642 SZW65642 TJS65642 TTO65642 UDK65642 UNG65642 UXC65642 VGY65642 VQU65642 WAQ65642 WKM65642 WUI65642 HW131178 RS131178 ABO131178 ALK131178 AVG131178 BFC131178 BOY131178 BYU131178 CIQ131178 CSM131178 DCI131178 DME131178 DWA131178 EFW131178 EPS131178 EZO131178 FJK131178 FTG131178 GDC131178 GMY131178 GWU131178 HGQ131178 HQM131178 IAI131178 IKE131178 IUA131178 JDW131178 JNS131178 JXO131178 KHK131178 KRG131178 LBC131178 LKY131178 LUU131178 MEQ131178 MOM131178 MYI131178 NIE131178 NSA131178 OBW131178 OLS131178 OVO131178 PFK131178 PPG131178 PZC131178 QIY131178 QSU131178 RCQ131178 RMM131178 RWI131178 SGE131178 SQA131178 SZW131178 TJS131178 TTO131178 UDK131178 UNG131178 UXC131178 VGY131178 VQU131178 WAQ131178 WKM131178 WUI131178 HW196714 RS196714 ABO196714 ALK196714 AVG196714 BFC196714 BOY196714 BYU196714 CIQ196714 CSM196714 DCI196714 DME196714 DWA196714 EFW196714 EPS196714 EZO196714 FJK196714 FTG196714 GDC196714 GMY196714 GWU196714 HGQ196714 HQM196714 IAI196714 IKE196714 IUA196714 JDW196714 JNS196714 JXO196714 KHK196714 KRG196714 LBC196714 LKY196714 LUU196714 MEQ196714 MOM196714 MYI196714 NIE196714 NSA196714 OBW196714 OLS196714 OVO196714 PFK196714 PPG196714 PZC196714 QIY196714 QSU196714 RCQ196714 RMM196714 RWI196714 SGE196714 SQA196714 SZW196714 TJS196714 TTO196714 UDK196714 UNG196714 UXC196714 VGY196714 VQU196714 WAQ196714 WKM196714 WUI196714 HW262250 RS262250 ABO262250 ALK262250 AVG262250 BFC262250 BOY262250 BYU262250 CIQ262250 CSM262250 DCI262250 DME262250 DWA262250 EFW262250 EPS262250 EZO262250 FJK262250 FTG262250 GDC262250 GMY262250 GWU262250 HGQ262250 HQM262250 IAI262250 IKE262250 IUA262250 JDW262250 JNS262250 JXO262250 KHK262250 KRG262250 LBC262250 LKY262250 LUU262250 MEQ262250 MOM262250 MYI262250 NIE262250 NSA262250 OBW262250 OLS262250 OVO262250 PFK262250 PPG262250 PZC262250 QIY262250 QSU262250 RCQ262250 RMM262250 RWI262250 SGE262250 SQA262250 SZW262250 TJS262250 TTO262250 UDK262250 UNG262250 UXC262250 VGY262250 VQU262250 WAQ262250 WKM262250 WUI262250 HW327786 RS327786 ABO327786 ALK327786 AVG327786 BFC327786 BOY327786 BYU327786 CIQ327786 CSM327786 DCI327786 DME327786 DWA327786 EFW327786 EPS327786 EZO327786 FJK327786 FTG327786 GDC327786 GMY327786 GWU327786 HGQ327786 HQM327786 IAI327786 IKE327786 IUA327786 JDW327786 JNS327786 JXO327786 KHK327786 KRG327786 LBC327786 LKY327786 LUU327786 MEQ327786 MOM327786 MYI327786 NIE327786 NSA327786 OBW327786 OLS327786 OVO327786 PFK327786 PPG327786 PZC327786 QIY327786 QSU327786 RCQ327786 RMM327786 RWI327786 SGE327786 SQA327786 SZW327786 TJS327786 TTO327786 UDK327786 UNG327786 UXC327786 VGY327786 VQU327786 WAQ327786 WKM327786 WUI327786 HW393322 RS393322 ABO393322 ALK393322 AVG393322 BFC393322 BOY393322 BYU393322 CIQ393322 CSM393322 DCI393322 DME393322 DWA393322 EFW393322 EPS393322 EZO393322 FJK393322 FTG393322 GDC393322 GMY393322 GWU393322 HGQ393322 HQM393322 IAI393322 IKE393322 IUA393322 JDW393322 JNS393322 JXO393322 KHK393322 KRG393322 LBC393322 LKY393322 LUU393322 MEQ393322 MOM393322 MYI393322 NIE393322 NSA393322 OBW393322 OLS393322 OVO393322 PFK393322 PPG393322 PZC393322 QIY393322 QSU393322 RCQ393322 RMM393322 RWI393322 SGE393322 SQA393322 SZW393322 TJS393322 TTO393322 UDK393322 UNG393322 UXC393322 VGY393322 VQU393322 WAQ393322 WKM393322 WUI393322 HW458858 RS458858 ABO458858 ALK458858 AVG458858 BFC458858 BOY458858 BYU458858 CIQ458858 CSM458858 DCI458858 DME458858 DWA458858 EFW458858 EPS458858 EZO458858 FJK458858 FTG458858 GDC458858 GMY458858 GWU458858 HGQ458858 HQM458858 IAI458858 IKE458858 IUA458858 JDW458858 JNS458858 JXO458858 KHK458858 KRG458858 LBC458858 LKY458858 LUU458858 MEQ458858 MOM458858 MYI458858 NIE458858 NSA458858 OBW458858 OLS458858 OVO458858 PFK458858 PPG458858 PZC458858 QIY458858 QSU458858 RCQ458858 RMM458858 RWI458858 SGE458858 SQA458858 SZW458858 TJS458858 TTO458858 UDK458858 UNG458858 UXC458858 VGY458858 VQU458858 WAQ458858 WKM458858 WUI458858 HW524394 RS524394 ABO524394 ALK524394 AVG524394 BFC524394 BOY524394 BYU524394 CIQ524394 CSM524394 DCI524394 DME524394 DWA524394 EFW524394 EPS524394 EZO524394 FJK524394 FTG524394 GDC524394 GMY524394 GWU524394 HGQ524394 HQM524394 IAI524394 IKE524394 IUA524394 JDW524394 JNS524394 JXO524394 KHK524394 KRG524394 LBC524394 LKY524394 LUU524394 MEQ524394 MOM524394 MYI524394 NIE524394 NSA524394 OBW524394 OLS524394 OVO524394 PFK524394 PPG524394 PZC524394 QIY524394 QSU524394 RCQ524394 RMM524394 RWI524394 SGE524394 SQA524394 SZW524394 TJS524394 TTO524394 UDK524394 UNG524394 UXC524394 VGY524394 VQU524394 WAQ524394 WKM524394 WUI524394 HW589930 RS589930 ABO589930 ALK589930 AVG589930 BFC589930 BOY589930 BYU589930 CIQ589930 CSM589930 DCI589930 DME589930 DWA589930 EFW589930 EPS589930 EZO589930 FJK589930 FTG589930 GDC589930 GMY589930 GWU589930 HGQ589930 HQM589930 IAI589930 IKE589930 IUA589930 JDW589930 JNS589930 JXO589930 KHK589930 KRG589930 LBC589930 LKY589930 LUU589930 MEQ589930 MOM589930 MYI589930 NIE589930 NSA589930 OBW589930 OLS589930 OVO589930 PFK589930 PPG589930 PZC589930 QIY589930 QSU589930 RCQ589930 RMM589930 RWI589930 SGE589930 SQA589930 SZW589930 TJS589930 TTO589930 UDK589930 UNG589930 UXC589930 VGY589930 VQU589930 WAQ589930 WKM589930 WUI589930 HW655466 RS655466 ABO655466 ALK655466 AVG655466 BFC655466 BOY655466 BYU655466 CIQ655466 CSM655466 DCI655466 DME655466 DWA655466 EFW655466 EPS655466 EZO655466 FJK655466 FTG655466 GDC655466 GMY655466 GWU655466 HGQ655466 HQM655466 IAI655466 IKE655466 IUA655466 JDW655466 JNS655466 JXO655466 KHK655466 KRG655466 LBC655466 LKY655466 LUU655466 MEQ655466 MOM655466 MYI655466 NIE655466 NSA655466 OBW655466 OLS655466 OVO655466 PFK655466 PPG655466 PZC655466 QIY655466 QSU655466 RCQ655466 RMM655466 RWI655466 SGE655466 SQA655466 SZW655466 TJS655466 TTO655466 UDK655466 UNG655466 UXC655466 VGY655466 VQU655466 WAQ655466 WKM655466 WUI655466 HW721002 RS721002 ABO721002 ALK721002 AVG721002 BFC721002 BOY721002 BYU721002 CIQ721002 CSM721002 DCI721002 DME721002 DWA721002 EFW721002 EPS721002 EZO721002 FJK721002 FTG721002 GDC721002 GMY721002 GWU721002 HGQ721002 HQM721002 IAI721002 IKE721002 IUA721002 JDW721002 JNS721002 JXO721002 KHK721002 KRG721002 LBC721002 LKY721002 LUU721002 MEQ721002 MOM721002 MYI721002 NIE721002 NSA721002 OBW721002 OLS721002 OVO721002 PFK721002 PPG721002 PZC721002 QIY721002 QSU721002 RCQ721002 RMM721002 RWI721002 SGE721002 SQA721002 SZW721002 TJS721002 TTO721002 UDK721002 UNG721002 UXC721002 VGY721002 VQU721002 WAQ721002 WKM721002 WUI721002 HW786538 RS786538 ABO786538 ALK786538 AVG786538 BFC786538 BOY786538 BYU786538 CIQ786538 CSM786538 DCI786538 DME786538 DWA786538 EFW786538 EPS786538 EZO786538 FJK786538 FTG786538 GDC786538 GMY786538 GWU786538 HGQ786538 HQM786538 IAI786538 IKE786538 IUA786538 JDW786538 JNS786538 JXO786538 KHK786538 KRG786538 LBC786538 LKY786538 LUU786538 MEQ786538 MOM786538 MYI786538 NIE786538 NSA786538 OBW786538 OLS786538 OVO786538 PFK786538 PPG786538 PZC786538 QIY786538 QSU786538 RCQ786538 RMM786538 RWI786538 SGE786538 SQA786538 SZW786538 TJS786538 TTO786538 UDK786538 UNG786538 UXC786538 VGY786538 VQU786538 WAQ786538 WKM786538 WUI786538 HW852074 RS852074 ABO852074 ALK852074 AVG852074 BFC852074 BOY852074 BYU852074 CIQ852074 CSM852074 DCI852074 DME852074 DWA852074 EFW852074 EPS852074 EZO852074 FJK852074 FTG852074 GDC852074 GMY852074 GWU852074 HGQ852074 HQM852074 IAI852074 IKE852074 IUA852074 JDW852074 JNS852074 JXO852074 KHK852074 KRG852074 LBC852074 LKY852074 LUU852074 MEQ852074 MOM852074 MYI852074 NIE852074 NSA852074 OBW852074 OLS852074 OVO852074 PFK852074 PPG852074 PZC852074 QIY852074 QSU852074 RCQ852074 RMM852074 RWI852074 SGE852074 SQA852074 SZW852074 TJS852074 TTO852074 UDK852074 UNG852074 UXC852074 VGY852074 VQU852074 WAQ852074 WKM852074 WUI852074 HW917610 RS917610 ABO917610 ALK917610 AVG917610 BFC917610 BOY917610 BYU917610 CIQ917610 CSM917610 DCI917610 DME917610 DWA917610 EFW917610 EPS917610 EZO917610 FJK917610 FTG917610 GDC917610 GMY917610 GWU917610 HGQ917610 HQM917610 IAI917610 IKE917610 IUA917610 JDW917610 JNS917610 JXO917610 KHK917610 KRG917610 LBC917610 LKY917610 LUU917610 MEQ917610 MOM917610 MYI917610 NIE917610 NSA917610 OBW917610 OLS917610 OVO917610 PFK917610 PPG917610 PZC917610 QIY917610 QSU917610 RCQ917610 RMM917610 RWI917610 SGE917610 SQA917610 SZW917610 TJS917610 TTO917610 UDK917610 UNG917610 UXC917610 VGY917610 VQU917610 WAQ917610 WKM917610 WUI917610 HW983146 RS983146 ABO983146 ALK983146 AVG983146 BFC983146 BOY983146 BYU983146 CIQ983146 CSM983146 DCI983146 DME983146 DWA983146 EFW983146 EPS983146 EZO983146 FJK983146 FTG983146 GDC983146 GMY983146 GWU983146 HGQ983146 HQM983146 IAI983146 IKE983146 IUA983146 JDW983146 JNS983146 JXO983146 KHK983146 KRG983146 LBC983146 LKY983146 LUU983146 MEQ983146 MOM983146 MYI983146 NIE983146 NSA983146 OBW983146 OLS983146 OVO983146 PFK983146 PPG983146 PZC983146 QIY983146 QSU983146 RCQ983146 RMM983146 RWI983146 SGE983146 SQA983146 SZW983146 TJS983146 TTO983146 UDK983146 UNG983146 UXC983146 VGY983146 VQU983146 WAQ983146 WKM983146 WUI983146 E983146 E917610 E852074 E786538 E721002 E655466 E589930 E524394 E458858 E393322 E327786 E262250 E196714 E131178 E65642 E983151 E917615 E852079 E786543 E721007 E655471 E589935 E524399 E458863 E393327 E327791 E262255 E196719 E131183 E65647 E983140 E917604 E852068 E786532 E720996 E655460 E589924 E524388 E458852 E393316 E327780 E262244 E196708 E131172" xr:uid="{00000000-0002-0000-0400-000000000000}">
      <formula1>"Yes,No"</formula1>
    </dataValidation>
  </dataValidations>
  <pageMargins left="0.7" right="0.7" top="0.75" bottom="0.75" header="0.3" footer="0.3"/>
  <pageSetup orientation="portrait" horizontalDpi="4294967293" r:id="rId1"/>
  <ignoredErrors>
    <ignoredError sqref="E149" formula="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3C14A-88C7-4C9A-8771-0231B0F5B928}">
  <sheetPr codeName="Sheet10"/>
  <dimension ref="A1:AA91"/>
  <sheetViews>
    <sheetView workbookViewId="0"/>
  </sheetViews>
  <sheetFormatPr defaultColWidth="9.140625" defaultRowHeight="15" x14ac:dyDescent="0.25"/>
  <cols>
    <col min="1" max="4" width="9.140625" style="436"/>
    <col min="5" max="5" width="11.140625" style="436" customWidth="1"/>
    <col min="6" max="6" width="9.140625" style="436"/>
    <col min="7" max="7" width="13" style="436" customWidth="1"/>
    <col min="8" max="8" width="11.28515625" style="436" customWidth="1"/>
    <col min="9" max="9" width="9.140625" style="436"/>
    <col min="10" max="10" width="11.85546875" style="436" bestFit="1" customWidth="1"/>
    <col min="11" max="13" width="9.140625" style="436"/>
    <col min="14" max="14" width="11" style="436" customWidth="1"/>
    <col min="15" max="16" width="9.140625" style="436"/>
    <col min="17" max="17" width="11.85546875" style="436" bestFit="1" customWidth="1"/>
    <col min="18" max="23" width="9.140625" style="436"/>
    <col min="24" max="24" width="10.85546875" style="436" bestFit="1" customWidth="1"/>
    <col min="25" max="25" width="9.140625" style="436"/>
    <col min="26" max="26" width="11.85546875" style="436" bestFit="1" customWidth="1"/>
    <col min="27" max="16384" width="9.140625" style="436"/>
  </cols>
  <sheetData>
    <row r="1" spans="1:18" x14ac:dyDescent="0.25">
      <c r="A1" s="821" t="str">
        <f>"Flow chart of the nutrient flows for scenario "&amp;'Saved Scenarios'!H6</f>
        <v xml:space="preserve">Flow chart of the nutrient flows for scenario </v>
      </c>
    </row>
    <row r="3" spans="1:18" x14ac:dyDescent="0.25">
      <c r="R3" s="436" t="s">
        <v>704</v>
      </c>
    </row>
    <row r="6" spans="1:18" x14ac:dyDescent="0.25">
      <c r="M6" s="815">
        <f>'Nutrient Calculations'!AF13</f>
        <v>8.7119849561662956</v>
      </c>
      <c r="N6" s="815" t="str">
        <f>'Nutrient Calculations'!AG13</f>
        <v>tons/day</v>
      </c>
    </row>
    <row r="7" spans="1:18" x14ac:dyDescent="0.25">
      <c r="M7" s="815">
        <f>'Nutrient Calculations'!AF23</f>
        <v>7.4051872127413505</v>
      </c>
      <c r="N7" s="809" t="str">
        <f>'Nutrient Calculations'!AG23</f>
        <v>tons/day DM</v>
      </c>
    </row>
    <row r="8" spans="1:18" x14ac:dyDescent="0.25">
      <c r="M8" s="815"/>
      <c r="N8" s="809"/>
    </row>
    <row r="9" spans="1:18" x14ac:dyDescent="0.25">
      <c r="F9" s="809">
        <f>'Nutrient Calculations'!AF11</f>
        <v>81.972602739726028</v>
      </c>
      <c r="G9" s="809" t="str">
        <f>'Nutrient Calculations'!AG11</f>
        <v>tons/day</v>
      </c>
      <c r="I9" s="808">
        <f>'Nutrient Calculations'!N12</f>
        <v>50</v>
      </c>
      <c r="J9" s="436" t="str">
        <f>'Nutrient Calculations'!O12</f>
        <v>tons/day</v>
      </c>
      <c r="M9" s="813">
        <f>'Nutrient Inputs'!D44</f>
        <v>6.3388625592417057E-3</v>
      </c>
      <c r="N9" s="436" t="s">
        <v>681</v>
      </c>
    </row>
    <row r="10" spans="1:18" x14ac:dyDescent="0.25">
      <c r="F10" s="815">
        <f>'Nutrient Calculations'!B21</f>
        <v>10.656438356164385</v>
      </c>
      <c r="G10" s="809" t="str">
        <f>'Nutrient Calculations'!AG21</f>
        <v>tons/day DM</v>
      </c>
      <c r="I10" s="815">
        <f>'Nutrient Calculations'!N22</f>
        <v>10</v>
      </c>
      <c r="J10" s="809" t="str">
        <f>'Nutrient Calculations'!AG22</f>
        <v>tons/day DM</v>
      </c>
      <c r="M10" s="813">
        <f>'Nutrient Inputs'!E44</f>
        <v>2.31042654028436E-6</v>
      </c>
      <c r="N10" s="436" t="s">
        <v>681</v>
      </c>
    </row>
    <row r="11" spans="1:18" x14ac:dyDescent="0.25">
      <c r="F11" s="815"/>
      <c r="G11" s="809"/>
      <c r="I11" s="815"/>
      <c r="J11" s="809"/>
      <c r="M11" s="813">
        <f>'Nutrient Inputs'!G44</f>
        <v>1.7239336492890997E-3</v>
      </c>
      <c r="N11" s="436" t="s">
        <v>681</v>
      </c>
    </row>
    <row r="12" spans="1:18" x14ac:dyDescent="0.25">
      <c r="E12" s="436" t="s">
        <v>571</v>
      </c>
      <c r="F12" s="810">
        <f>'Nutrient Calculations'!B44</f>
        <v>34.19</v>
      </c>
      <c r="G12" s="436" t="s">
        <v>680</v>
      </c>
      <c r="I12" s="811">
        <f>'Nutrient Inputs'!D43</f>
        <v>29</v>
      </c>
      <c r="J12" s="436" t="s">
        <v>680</v>
      </c>
    </row>
    <row r="13" spans="1:18" x14ac:dyDescent="0.25">
      <c r="E13" s="436" t="s">
        <v>629</v>
      </c>
      <c r="F13" s="810">
        <f>'Nutrient Calculations'!B45</f>
        <v>11.89</v>
      </c>
      <c r="G13" s="436" t="s">
        <v>680</v>
      </c>
      <c r="I13" s="811">
        <f>'Nutrient Inputs'!E43</f>
        <v>4</v>
      </c>
      <c r="J13" s="436" t="s">
        <v>680</v>
      </c>
    </row>
    <row r="14" spans="1:18" x14ac:dyDescent="0.25">
      <c r="E14" s="436" t="s">
        <v>569</v>
      </c>
      <c r="F14" s="810">
        <f>'Nutrient Calculations'!B47</f>
        <v>12.74</v>
      </c>
      <c r="G14" s="436" t="s">
        <v>680</v>
      </c>
      <c r="I14" s="806">
        <f>'Nutrient Inputs'!G43</f>
        <v>10.5</v>
      </c>
      <c r="J14" s="436" t="s">
        <v>680</v>
      </c>
    </row>
    <row r="15" spans="1:18" x14ac:dyDescent="0.25">
      <c r="F15" s="810"/>
      <c r="I15" s="806"/>
    </row>
    <row r="17" spans="7:13" x14ac:dyDescent="0.25">
      <c r="I17" s="821" t="s">
        <v>684</v>
      </c>
    </row>
    <row r="18" spans="7:13" x14ac:dyDescent="0.25">
      <c r="I18" s="808">
        <f>'Nutrient Calculations'!AF14</f>
        <v>140.68458769589233</v>
      </c>
      <c r="J18" s="436" t="str">
        <f>J9</f>
        <v>tons/day</v>
      </c>
    </row>
    <row r="19" spans="7:13" x14ac:dyDescent="0.25">
      <c r="I19" s="812">
        <f>'Nutrient Calculations'!AF19</f>
        <v>0.1994648172091496</v>
      </c>
      <c r="J19" s="436" t="s">
        <v>678</v>
      </c>
    </row>
    <row r="20" spans="7:13" x14ac:dyDescent="0.25">
      <c r="I20" s="807">
        <f>'Nutrient Calculations'!AF24</f>
        <v>28.061625568905736</v>
      </c>
      <c r="J20" s="436" t="str">
        <f>J10</f>
        <v>tons/day DM</v>
      </c>
    </row>
    <row r="27" spans="7:13" x14ac:dyDescent="0.25">
      <c r="I27" s="808">
        <f>I18*'Nutrient Inputs'!E10</f>
        <v>129.42982068022096</v>
      </c>
      <c r="J27" s="436" t="str">
        <f>J18</f>
        <v>tons/day</v>
      </c>
      <c r="L27" s="816">
        <f>'Nutrient Inputs'!E10</f>
        <v>0.92</v>
      </c>
      <c r="M27" s="436" t="s">
        <v>685</v>
      </c>
    </row>
    <row r="28" spans="7:13" x14ac:dyDescent="0.25">
      <c r="I28" s="807">
        <f>I20*'Nutrient Inputs'!E11</f>
        <v>21.046219176679301</v>
      </c>
      <c r="J28" s="436" t="str">
        <f>J20</f>
        <v>tons/day DM</v>
      </c>
      <c r="L28" s="816">
        <f>'Nutrient Inputs'!E11</f>
        <v>0.75</v>
      </c>
      <c r="M28" s="436" t="s">
        <v>685</v>
      </c>
    </row>
    <row r="29" spans="7:13" x14ac:dyDescent="0.25">
      <c r="I29" s="807"/>
      <c r="L29" s="816"/>
    </row>
    <row r="30" spans="7:13" x14ac:dyDescent="0.25">
      <c r="G30" s="436" t="s">
        <v>571</v>
      </c>
      <c r="I30" s="807">
        <f>('Nutrient Calculations'!AJ44+'Nutrient Calculations'!AV44)*1000/'Nutrient Calculations'!$AF$30</f>
        <v>64.1389774512364</v>
      </c>
      <c r="J30" s="436" t="s">
        <v>680</v>
      </c>
      <c r="L30" s="816"/>
    </row>
    <row r="31" spans="7:13" x14ac:dyDescent="0.25">
      <c r="G31" s="436" t="s">
        <v>629</v>
      </c>
      <c r="I31" s="807">
        <f>('Nutrient Calculations'!AJ45+'Nutrient Calculations'!AV45)*1000/'Nutrient Calculations'!$AF$30</f>
        <v>29.306131079931973</v>
      </c>
      <c r="J31" s="436" t="s">
        <v>680</v>
      </c>
      <c r="L31" s="816"/>
    </row>
    <row r="32" spans="7:13" x14ac:dyDescent="0.25">
      <c r="G32" s="436" t="s">
        <v>569</v>
      </c>
      <c r="I32" s="807">
        <f>('Nutrient Calculations'!AJ47+'Nutrient Calculations'!AV47)*1000/'Nutrient Calculations'!$AF$30</f>
        <v>21.743932519437664</v>
      </c>
      <c r="J32" s="436" t="s">
        <v>680</v>
      </c>
      <c r="L32" s="816"/>
    </row>
    <row r="36" spans="2:13" x14ac:dyDescent="0.25">
      <c r="G36" s="848" t="s">
        <v>732</v>
      </c>
      <c r="K36" s="849" t="s">
        <v>732</v>
      </c>
    </row>
    <row r="37" spans="2:13" x14ac:dyDescent="0.25">
      <c r="I37" s="821" t="str">
        <f>IF('Key inputs &amp; Outputs'!F13="Yes",'Nutrient Inputs'!M7,"digestate")</f>
        <v>digestate liquid</v>
      </c>
    </row>
    <row r="38" spans="2:13" x14ac:dyDescent="0.25">
      <c r="G38" s="807"/>
      <c r="H38" s="807">
        <f>'Nutrient Calculations'!AF40</f>
        <v>126.74973915257766</v>
      </c>
      <c r="I38" s="436" t="str">
        <f>J27</f>
        <v>tons/day</v>
      </c>
      <c r="L38" s="807">
        <f>'Nutrient Calculations'!AR40/365</f>
        <v>11.447509163390961</v>
      </c>
      <c r="M38" s="436" t="str">
        <f>I38</f>
        <v>tons/day</v>
      </c>
    </row>
    <row r="39" spans="2:13" x14ac:dyDescent="0.25">
      <c r="H39" s="812">
        <f>H40/H38</f>
        <v>0.13398334021999561</v>
      </c>
      <c r="I39" s="436" t="s">
        <v>678</v>
      </c>
      <c r="L39" s="816">
        <f>IF('Key inputs &amp; Outputs'!F13="Yes",'Nutrient Inputs'!E21,0)</f>
        <v>0.35499999999999998</v>
      </c>
      <c r="M39" s="436" t="str">
        <f>I39</f>
        <v>solids</v>
      </c>
    </row>
    <row r="40" spans="2:13" x14ac:dyDescent="0.25">
      <c r="B40" s="808">
        <f>'Nutrient Inputs'!E72</f>
        <v>20</v>
      </c>
      <c r="C40" s="436" t="str">
        <f>'Nutrient Calculations'!AR61</f>
        <v>tons/acre actual rate</v>
      </c>
      <c r="H40" s="807">
        <f>I28-L40</f>
        <v>16.982353423675512</v>
      </c>
      <c r="I40" s="436" t="str">
        <f>J28</f>
        <v>tons/day DM</v>
      </c>
      <c r="L40" s="807">
        <f>L38*L39</f>
        <v>4.0638657530037907</v>
      </c>
      <c r="M40" s="436" t="str">
        <f>I40</f>
        <v>tons/day DM</v>
      </c>
    </row>
    <row r="41" spans="2:13" x14ac:dyDescent="0.25">
      <c r="B41" s="808">
        <f>'Nutrient Calculations'!AV57</f>
        <v>208.91704223188503</v>
      </c>
      <c r="C41" s="436" t="str">
        <f>'Nutrient Calculations'!AW57</f>
        <v>Acres required to apply bedding</v>
      </c>
      <c r="H41" s="807"/>
      <c r="L41" s="807"/>
    </row>
    <row r="42" spans="2:13" x14ac:dyDescent="0.25">
      <c r="F42" s="436" t="s">
        <v>571</v>
      </c>
      <c r="H42" s="811">
        <f>'Nutrient Calculations'!O44</f>
        <v>34.586709853621585</v>
      </c>
      <c r="I42" s="436" t="str">
        <f>J12</f>
        <v>lb/1,000 gal</v>
      </c>
      <c r="L42" s="814">
        <f>'Nutrient Calculations'!Y44</f>
        <v>6.7341238992387256</v>
      </c>
      <c r="M42" s="436" t="s">
        <v>686</v>
      </c>
    </row>
    <row r="43" spans="2:13" x14ac:dyDescent="0.25">
      <c r="F43" s="436" t="s">
        <v>629</v>
      </c>
      <c r="H43" s="811">
        <f>'Nutrient Calculations'!O45</f>
        <v>17.152301728594043</v>
      </c>
      <c r="I43" s="436" t="str">
        <f>J13</f>
        <v>lb/1,000 gal</v>
      </c>
      <c r="L43" s="814">
        <f>'Nutrient Calculations'!Y45</f>
        <v>2.9070080370941533</v>
      </c>
      <c r="M43" s="436" t="s">
        <v>686</v>
      </c>
    </row>
    <row r="44" spans="2:13" x14ac:dyDescent="0.25">
      <c r="F44" s="436" t="s">
        <v>630</v>
      </c>
      <c r="H44" s="811">
        <f>'Nutrient Calculations'!O46</f>
        <v>17.434408125027545</v>
      </c>
      <c r="I44" s="436" t="str">
        <f>I43</f>
        <v>lb/1,000 gal</v>
      </c>
      <c r="L44" s="814">
        <f>'Nutrient Calculations'!Y46</f>
        <v>3.8271158621445731</v>
      </c>
      <c r="M44" s="436" t="s">
        <v>686</v>
      </c>
    </row>
    <row r="45" spans="2:13" x14ac:dyDescent="0.25">
      <c r="F45" s="436" t="s">
        <v>569</v>
      </c>
      <c r="H45" s="811">
        <f>'Nutrient Calculations'!O47</f>
        <v>11.03498371989537</v>
      </c>
      <c r="I45" s="436" t="str">
        <f>J14</f>
        <v>lb/1,000 gal</v>
      </c>
      <c r="L45" s="814">
        <f>'Nutrient Calculations'!Y47</f>
        <v>10.561500390577928</v>
      </c>
      <c r="M45" s="436" t="s">
        <v>686</v>
      </c>
    </row>
    <row r="47" spans="2:13" x14ac:dyDescent="0.25">
      <c r="H47" s="809">
        <f>'Nutrient Inputs'!E67</f>
        <v>3800</v>
      </c>
      <c r="I47" s="436" t="s">
        <v>902</v>
      </c>
    </row>
    <row r="48" spans="2:13" x14ac:dyDescent="0.25">
      <c r="H48" s="809">
        <f>'Nutrient Inputs'!E70</f>
        <v>3255.25294052145</v>
      </c>
      <c r="I48" s="436" t="s">
        <v>900</v>
      </c>
    </row>
    <row r="49" spans="8:9" x14ac:dyDescent="0.25">
      <c r="H49" s="809">
        <f>'Nutrient Inputs'!E72</f>
        <v>20</v>
      </c>
      <c r="I49" s="436" t="s">
        <v>901</v>
      </c>
    </row>
    <row r="50" spans="8:9" x14ac:dyDescent="0.25">
      <c r="H50" s="809">
        <f>'Nutrient Inputs'!E73</f>
        <v>208.91704223188503</v>
      </c>
      <c r="I50" s="436" t="str">
        <f>'Nutrient Calculations'!AA56</f>
        <v>Acres required to apply bedding</v>
      </c>
    </row>
    <row r="65" spans="1:27" x14ac:dyDescent="0.25">
      <c r="A65" s="821" t="s">
        <v>759</v>
      </c>
    </row>
    <row r="67" spans="1:27" x14ac:dyDescent="0.25">
      <c r="F67" s="826" t="s">
        <v>693</v>
      </c>
      <c r="G67" s="667"/>
      <c r="H67" s="667"/>
      <c r="I67" s="667"/>
      <c r="J67" s="667"/>
      <c r="M67" s="831" t="s">
        <v>695</v>
      </c>
      <c r="N67" s="832"/>
      <c r="O67" s="832"/>
      <c r="P67" s="832"/>
      <c r="Q67" s="832"/>
      <c r="T67" s="828" t="s">
        <v>774</v>
      </c>
      <c r="U67" s="685"/>
      <c r="V67" s="685"/>
      <c r="W67" s="685"/>
      <c r="X67" s="685"/>
      <c r="Y67" s="821" t="s">
        <v>701</v>
      </c>
    </row>
    <row r="68" spans="1:27" x14ac:dyDescent="0.25">
      <c r="F68" s="667" t="s">
        <v>761</v>
      </c>
      <c r="G68" s="667"/>
      <c r="H68" s="672">
        <f>'Nutrient Inputs'!D67</f>
        <v>2900</v>
      </c>
      <c r="I68" s="667" t="s">
        <v>760</v>
      </c>
      <c r="J68" s="667"/>
      <c r="M68" s="831"/>
      <c r="N68" s="832"/>
      <c r="O68" s="832"/>
      <c r="P68" s="832"/>
      <c r="Q68" s="832"/>
      <c r="T68" s="828"/>
      <c r="U68" s="685"/>
      <c r="V68" s="685"/>
      <c r="W68" s="685"/>
      <c r="X68" s="685"/>
      <c r="Y68" s="821"/>
    </row>
    <row r="69" spans="1:27" x14ac:dyDescent="0.25">
      <c r="F69" s="667" t="s">
        <v>762</v>
      </c>
      <c r="G69" s="667"/>
      <c r="H69" s="672">
        <f>'Nutrient Calculations'!D57</f>
        <v>2943.4850863422294</v>
      </c>
      <c r="I69" s="667" t="s">
        <v>760</v>
      </c>
      <c r="J69" s="667"/>
      <c r="M69" s="831"/>
      <c r="N69" s="832"/>
      <c r="O69" s="832"/>
      <c r="P69" s="832"/>
      <c r="Q69" s="832"/>
      <c r="T69" s="828"/>
      <c r="U69" s="685"/>
      <c r="V69" s="685"/>
      <c r="W69" s="685"/>
      <c r="X69" s="685"/>
      <c r="Y69" s="821"/>
    </row>
    <row r="70" spans="1:27" x14ac:dyDescent="0.25">
      <c r="F70" s="667" t="s">
        <v>763</v>
      </c>
      <c r="G70" s="667"/>
      <c r="H70" s="672">
        <f>'Nutrient Inputs'!D67</f>
        <v>2900</v>
      </c>
      <c r="I70" s="667" t="s">
        <v>760</v>
      </c>
      <c r="J70" s="667"/>
      <c r="M70" s="832" t="s">
        <v>325</v>
      </c>
      <c r="N70" s="832"/>
      <c r="O70" s="832"/>
      <c r="P70" s="833">
        <f>'Nutrient Inputs'!F67</f>
        <v>900</v>
      </c>
      <c r="Q70" s="832"/>
      <c r="T70" s="685" t="s">
        <v>429</v>
      </c>
      <c r="U70" s="685"/>
      <c r="V70" s="685"/>
      <c r="W70" s="689">
        <f>'Nutrient Calculations'!X61</f>
        <v>20</v>
      </c>
      <c r="X70" s="685"/>
    </row>
    <row r="71" spans="1:27" x14ac:dyDescent="0.25">
      <c r="F71" s="667" t="s">
        <v>321</v>
      </c>
      <c r="G71" s="667"/>
      <c r="H71" s="672">
        <f>'Nutrient Calculations'!E58</f>
        <v>3000</v>
      </c>
      <c r="I71" s="667"/>
      <c r="J71" s="667"/>
      <c r="M71" s="832" t="s">
        <v>321</v>
      </c>
      <c r="N71" s="832"/>
      <c r="O71" s="832"/>
      <c r="P71" s="833">
        <f>'Nutrient Calculations'!AV56</f>
        <v>1459.9027311325217</v>
      </c>
      <c r="Q71" s="832"/>
      <c r="T71" s="685" t="s">
        <v>321</v>
      </c>
      <c r="U71" s="685"/>
      <c r="V71" s="685"/>
      <c r="W71" s="689">
        <f>'Nutrient Calculations'!Z56</f>
        <v>61.630985915492978</v>
      </c>
      <c r="X71" s="685"/>
    </row>
    <row r="72" spans="1:27" x14ac:dyDescent="0.25">
      <c r="F72" s="667"/>
      <c r="G72" s="667"/>
      <c r="H72" s="672"/>
      <c r="I72" s="667"/>
      <c r="J72" s="667"/>
      <c r="M72" s="832"/>
      <c r="N72" s="832"/>
      <c r="O72" s="832"/>
      <c r="P72" s="833"/>
      <c r="Q72" s="832"/>
      <c r="T72" s="685"/>
      <c r="U72" s="685"/>
      <c r="V72" s="685"/>
      <c r="W72" s="689"/>
      <c r="X72" s="685"/>
    </row>
    <row r="73" spans="1:27" ht="60" x14ac:dyDescent="0.25">
      <c r="F73" s="675" t="s">
        <v>568</v>
      </c>
      <c r="G73" s="675" t="s">
        <v>694</v>
      </c>
      <c r="H73" s="675" t="s">
        <v>690</v>
      </c>
      <c r="I73" s="675" t="s">
        <v>697</v>
      </c>
      <c r="J73" s="675" t="s">
        <v>702</v>
      </c>
      <c r="L73" s="822"/>
      <c r="M73" s="834" t="s">
        <v>568</v>
      </c>
      <c r="N73" s="834" t="s">
        <v>694</v>
      </c>
      <c r="O73" s="834" t="s">
        <v>690</v>
      </c>
      <c r="P73" s="834" t="s">
        <v>697</v>
      </c>
      <c r="Q73" s="834" t="s">
        <v>702</v>
      </c>
      <c r="S73" s="822"/>
      <c r="T73" s="829" t="s">
        <v>568</v>
      </c>
      <c r="U73" s="829" t="s">
        <v>694</v>
      </c>
      <c r="V73" s="829" t="s">
        <v>690</v>
      </c>
      <c r="W73" s="829" t="s">
        <v>697</v>
      </c>
      <c r="X73" s="829" t="s">
        <v>702</v>
      </c>
      <c r="Z73" s="819" t="s">
        <v>702</v>
      </c>
    </row>
    <row r="74" spans="1:27" x14ac:dyDescent="0.25">
      <c r="B74" s="436" t="s">
        <v>687</v>
      </c>
      <c r="C74" s="817">
        <f>'Nutrient Calculations'!B50</f>
        <v>0.77</v>
      </c>
      <c r="D74" s="818" t="s">
        <v>688</v>
      </c>
      <c r="E74" s="818" t="s">
        <v>449</v>
      </c>
      <c r="F74" s="672">
        <f>'Nutrient Calculations'!E50</f>
        <v>140</v>
      </c>
      <c r="G74" s="672">
        <f>'Nutrient Calculations'!H50</f>
        <v>37.190934065934059</v>
      </c>
      <c r="H74" s="672">
        <f>'Nutrient Calculations'!H50</f>
        <v>37.190934065934059</v>
      </c>
      <c r="I74" s="683">
        <f>'Nutrient Calculations'!J50</f>
        <v>28.637019230769226</v>
      </c>
      <c r="J74" s="667"/>
      <c r="L74" s="436" t="str">
        <f>B74</f>
        <v>N</v>
      </c>
      <c r="M74" s="833">
        <f>F74</f>
        <v>140</v>
      </c>
      <c r="N74" s="835">
        <f>'Nutrient Calculations'!N50</f>
        <v>140</v>
      </c>
      <c r="O74" s="835">
        <f>'Nutrient Calculations'!N50</f>
        <v>140</v>
      </c>
      <c r="P74" s="836">
        <f>'Nutrient Calculations'!S50</f>
        <v>41.678237699427683</v>
      </c>
      <c r="Q74" s="832"/>
      <c r="S74" s="436" t="str">
        <f t="shared" ref="S74:T76" si="0">L74</f>
        <v>N</v>
      </c>
      <c r="T74" s="689">
        <f t="shared" si="0"/>
        <v>140</v>
      </c>
      <c r="U74" s="691">
        <f>'Nutrient Calculations'!V50</f>
        <v>52.032775543808974</v>
      </c>
      <c r="V74" s="691">
        <f>'Nutrient Calculations'!V50</f>
        <v>52.032775543808974</v>
      </c>
      <c r="W74" s="692">
        <f>'Nutrient Calculations'!Y50</f>
        <v>40.065237168732914</v>
      </c>
      <c r="X74" s="685"/>
    </row>
    <row r="75" spans="1:27" x14ac:dyDescent="0.25">
      <c r="B75" s="436" t="s">
        <v>691</v>
      </c>
      <c r="C75" s="817">
        <f>'Nutrient Calculations'!B51</f>
        <v>0.65</v>
      </c>
      <c r="D75" s="818" t="s">
        <v>688</v>
      </c>
      <c r="E75" s="818" t="s">
        <v>449</v>
      </c>
      <c r="F75" s="672">
        <f>'Nutrient Calculations'!E51</f>
        <v>30</v>
      </c>
      <c r="G75" s="672">
        <f>'Nutrient Calculations'!H51</f>
        <v>30</v>
      </c>
      <c r="H75" s="672">
        <f>'Nutrient Calculations'!H51</f>
        <v>30</v>
      </c>
      <c r="I75" s="683">
        <f>'Nutrient Calculations'!J51</f>
        <v>19.5</v>
      </c>
      <c r="J75" s="667"/>
      <c r="L75" s="436" t="str">
        <f>B75</f>
        <v>P2O5</v>
      </c>
      <c r="M75" s="833">
        <f>F75</f>
        <v>30</v>
      </c>
      <c r="N75" s="835">
        <f>'Nutrient Calculations'!N51</f>
        <v>89.51729740184102</v>
      </c>
      <c r="O75" s="832">
        <f>'Nutrient Calculations'!P51</f>
        <v>30</v>
      </c>
      <c r="P75" s="836">
        <f>'Nutrient Calculations'!S51</f>
        <v>19.5</v>
      </c>
      <c r="Q75" s="832"/>
      <c r="S75" s="436" t="str">
        <f t="shared" si="0"/>
        <v>P2O5</v>
      </c>
      <c r="T75" s="689">
        <f t="shared" si="0"/>
        <v>30</v>
      </c>
      <c r="U75" s="691">
        <f>'Nutrient Calculations'!V51</f>
        <v>168.98400624924685</v>
      </c>
      <c r="V75" s="685">
        <f>'Nutrient Calculations'!X51</f>
        <v>30</v>
      </c>
      <c r="W75" s="692">
        <f>'Nutrient Calculations'!Y51</f>
        <v>19.5</v>
      </c>
      <c r="X75" s="685"/>
    </row>
    <row r="76" spans="1:27" x14ac:dyDescent="0.25">
      <c r="B76" s="436" t="s">
        <v>692</v>
      </c>
      <c r="C76" s="817">
        <f>'Nutrient Calculations'!B52</f>
        <v>0.54</v>
      </c>
      <c r="D76" s="818" t="s">
        <v>688</v>
      </c>
      <c r="E76" s="818" t="s">
        <v>449</v>
      </c>
      <c r="F76" s="672">
        <f>'Nutrient Calculations'!E52</f>
        <v>150</v>
      </c>
      <c r="G76" s="672">
        <f>'Nutrient Calculations'!H52</f>
        <v>65.180533751962329</v>
      </c>
      <c r="H76" s="672">
        <f>'Nutrient Calculations'!H52</f>
        <v>65.180533751962329</v>
      </c>
      <c r="I76" s="683">
        <f>'Nutrient Calculations'!J52</f>
        <v>35.197488226059662</v>
      </c>
      <c r="J76" s="667"/>
      <c r="L76" s="436" t="str">
        <f>B76</f>
        <v>K2O</v>
      </c>
      <c r="M76" s="833">
        <f>F76</f>
        <v>150</v>
      </c>
      <c r="N76" s="835">
        <f>'Nutrient Calculations'!N52</f>
        <v>223.94032945423771</v>
      </c>
      <c r="O76" s="832">
        <f>'Nutrient Calculations'!P52</f>
        <v>150</v>
      </c>
      <c r="P76" s="836">
        <f>'Nutrient Calculations'!S52</f>
        <v>46.753772467534404</v>
      </c>
      <c r="Q76" s="832"/>
      <c r="S76" s="436" t="str">
        <f t="shared" si="0"/>
        <v>K2O</v>
      </c>
      <c r="T76" s="689">
        <f t="shared" si="0"/>
        <v>150</v>
      </c>
      <c r="U76" s="691">
        <f>'Nutrient Calculations'!V52</f>
        <v>108.6291854225954</v>
      </c>
      <c r="V76" s="685">
        <f>'Nutrient Calculations'!X52</f>
        <v>108.6291854225954</v>
      </c>
      <c r="W76" s="692">
        <f>'Nutrient Calculations'!Y52</f>
        <v>58.659760128201519</v>
      </c>
      <c r="X76" s="685"/>
    </row>
    <row r="77" spans="1:27" x14ac:dyDescent="0.25">
      <c r="B77" s="436" t="s">
        <v>703</v>
      </c>
      <c r="F77" s="667"/>
      <c r="G77" s="667"/>
      <c r="H77" s="667"/>
      <c r="I77" s="683">
        <f>'Nutrient Calculations'!J53</f>
        <v>83.334507456828888</v>
      </c>
      <c r="J77" s="683">
        <f>'Nutrient Calculations'!L66</f>
        <v>226492.08</v>
      </c>
      <c r="L77" s="436" t="str">
        <f>B77</f>
        <v>Total fertilizer value, $/acre &amp; $/year</v>
      </c>
      <c r="M77" s="832"/>
      <c r="N77" s="832"/>
      <c r="O77" s="832"/>
      <c r="P77" s="836" t="e">
        <f>'Nutrient Calculations'!#REF!</f>
        <v>#REF!</v>
      </c>
      <c r="Q77" s="836">
        <f>'Nutrient Calculations'!AR66</f>
        <v>16088.758270896786</v>
      </c>
      <c r="S77" s="436" t="str">
        <f>L77</f>
        <v>Total fertilizer value, $/acre &amp; $/year</v>
      </c>
      <c r="T77" s="685"/>
      <c r="U77" s="685"/>
      <c r="V77" s="685"/>
      <c r="W77" s="692">
        <f>'Nutrient Calculations'!Y53</f>
        <v>118.22499729693443</v>
      </c>
      <c r="X77" s="692">
        <f>'Nutrient Calculations'!Y66</f>
        <v>7286.3231432665616</v>
      </c>
      <c r="Y77" s="820"/>
      <c r="Z77" s="820">
        <f>Q77+X77</f>
        <v>23375.081414163345</v>
      </c>
      <c r="AA77" s="820"/>
    </row>
    <row r="78" spans="1:27" x14ac:dyDescent="0.25">
      <c r="F78" s="667"/>
      <c r="G78" s="667"/>
      <c r="H78" s="667"/>
      <c r="I78" s="683"/>
      <c r="J78" s="683"/>
      <c r="M78" s="832"/>
      <c r="N78" s="832"/>
      <c r="O78" s="832"/>
      <c r="P78" s="836"/>
      <c r="Q78" s="836"/>
      <c r="T78" s="685"/>
      <c r="U78" s="685"/>
      <c r="V78" s="685"/>
      <c r="W78" s="692"/>
      <c r="X78" s="692"/>
      <c r="Y78" s="820"/>
      <c r="Z78" s="820"/>
      <c r="AA78" s="820"/>
    </row>
    <row r="79" spans="1:27" x14ac:dyDescent="0.25">
      <c r="B79" s="436" t="s">
        <v>696</v>
      </c>
      <c r="F79" s="679">
        <f>'Nutrient Calculations'!C63</f>
        <v>8</v>
      </c>
      <c r="G79" s="667"/>
      <c r="H79" s="667"/>
      <c r="I79" s="827">
        <f>'Nutrient Calculations'!I63</f>
        <v>-53.547880690737834</v>
      </c>
      <c r="J79" s="827">
        <f>'Nutrient Calculations'!L67</f>
        <v>-146758.62068965519</v>
      </c>
      <c r="M79" s="832"/>
      <c r="N79" s="832"/>
      <c r="O79" s="832"/>
      <c r="P79" s="837">
        <f>'Nutrient Calculations'!Q63</f>
        <v>-111.12136789150586</v>
      </c>
      <c r="Q79" s="837">
        <f>'Nutrient Calculations'!AR67</f>
        <v>-12535.022533913103</v>
      </c>
      <c r="S79" s="436" t="s">
        <v>698</v>
      </c>
      <c r="T79" s="685"/>
      <c r="U79" s="685"/>
      <c r="V79" s="695">
        <f>'Nutrient Calculations'!X63</f>
        <v>6</v>
      </c>
      <c r="W79" s="830">
        <f>'Nutrient Calculations'!Y63</f>
        <v>-120</v>
      </c>
      <c r="X79" s="830">
        <f>'Nutrient Calculations'!Y67</f>
        <v>-7395.7183098591577</v>
      </c>
      <c r="Y79" s="820"/>
      <c r="Z79" s="823">
        <f>Q79+X79</f>
        <v>-19930.740843772262</v>
      </c>
      <c r="AA79" s="820"/>
    </row>
    <row r="80" spans="1:27" x14ac:dyDescent="0.25">
      <c r="B80" t="s">
        <v>699</v>
      </c>
      <c r="F80" s="667"/>
      <c r="G80" s="667"/>
      <c r="H80" s="667"/>
      <c r="I80" s="683">
        <f>I77+I79</f>
        <v>29.786626766091054</v>
      </c>
      <c r="J80" s="683">
        <f>J77+J79</f>
        <v>79733.459310344799</v>
      </c>
      <c r="M80" s="832"/>
      <c r="N80" s="832"/>
      <c r="O80" s="832"/>
      <c r="P80" s="836" t="e">
        <f>P77+P79</f>
        <v>#REF!</v>
      </c>
      <c r="Q80" s="836">
        <f>Q77+Q79</f>
        <v>3553.7357369836827</v>
      </c>
      <c r="S80" t="str">
        <f>B80</f>
        <v>Fertilizer value net of application cost</v>
      </c>
      <c r="T80" s="685"/>
      <c r="U80" s="685"/>
      <c r="V80" s="685"/>
      <c r="W80" s="692">
        <f>W77+W79</f>
        <v>-1.7750027030655673</v>
      </c>
      <c r="X80" s="692">
        <f>X77+X79</f>
        <v>-109.39516659259607</v>
      </c>
      <c r="Y80" s="820"/>
      <c r="Z80" s="820">
        <f>Q80+X80</f>
        <v>3444.3405703910867</v>
      </c>
      <c r="AA80" s="820"/>
    </row>
    <row r="81" spans="2:27" ht="18.75" x14ac:dyDescent="0.3">
      <c r="J81" s="820"/>
      <c r="P81" s="820"/>
      <c r="Q81" s="820"/>
      <c r="S81" s="825" t="s">
        <v>700</v>
      </c>
      <c r="W81" s="820"/>
      <c r="X81" s="820"/>
      <c r="Y81" s="820"/>
      <c r="Z81" s="824">
        <f>Z80-J80</f>
        <v>-76289.118739953716</v>
      </c>
      <c r="AA81" s="820"/>
    </row>
    <row r="83" spans="2:27" x14ac:dyDescent="0.25">
      <c r="B83" s="436" t="s">
        <v>711</v>
      </c>
      <c r="I83" s="809">
        <f>'Nutrient Inputs'!D67</f>
        <v>2900</v>
      </c>
      <c r="J83" s="820"/>
      <c r="P83" s="809">
        <f>'Nutrient Inputs'!F67</f>
        <v>900</v>
      </c>
    </row>
    <row r="84" spans="2:27" x14ac:dyDescent="0.25">
      <c r="B84" s="436" t="str">
        <f>'Nutrient Calculations'!A58</f>
        <v>Rate that covers all available acres</v>
      </c>
      <c r="I84" s="809">
        <f>'Nutrient Calculations'!E58</f>
        <v>3000</v>
      </c>
      <c r="J84" s="820"/>
      <c r="P84" s="809">
        <f>'Nutrient Calculations'!AV56</f>
        <v>1459.9027311325217</v>
      </c>
    </row>
    <row r="85" spans="2:27" x14ac:dyDescent="0.25">
      <c r="B85" s="436" t="s">
        <v>710</v>
      </c>
      <c r="I85" s="809">
        <f>'Key inputs &amp; Outputs'!$F$11*'Nutrient Inputs'!$M$5</f>
        <v>3000</v>
      </c>
      <c r="J85" s="820"/>
      <c r="P85" s="809">
        <f>'Nutrient Calculations'!AV61</f>
        <v>3500</v>
      </c>
    </row>
    <row r="86" spans="2:27" x14ac:dyDescent="0.25">
      <c r="I86" s="809"/>
      <c r="J86" s="820"/>
      <c r="P86" s="809"/>
    </row>
    <row r="87" spans="2:27" x14ac:dyDescent="0.25">
      <c r="B87" s="436" t="s">
        <v>708</v>
      </c>
      <c r="H87" s="838"/>
      <c r="I87" s="809" t="str">
        <f>'Nutrient Calculations'!D71</f>
        <v>Yes, enough cropland is available.</v>
      </c>
      <c r="J87" s="820"/>
      <c r="O87" s="838"/>
      <c r="P87" s="809" t="str">
        <f>'Nutrient Calculations'!AV70</f>
        <v>Yes, enough cropland is available to apply liquid and bedding.</v>
      </c>
    </row>
    <row r="88" spans="2:27" x14ac:dyDescent="0.25">
      <c r="I88" s="809"/>
      <c r="J88" s="820"/>
      <c r="P88" s="809"/>
    </row>
    <row r="89" spans="2:27" x14ac:dyDescent="0.25">
      <c r="B89" s="436" t="s">
        <v>709</v>
      </c>
      <c r="H89" s="838"/>
      <c r="I89" s="809" t="str">
        <f>'Nutrient Calculations'!D72</f>
        <v>Yes, excess P is being applied and may build up over time.</v>
      </c>
      <c r="J89" s="820"/>
      <c r="O89" s="838"/>
      <c r="P89" s="809">
        <f>'Nutrient Calculations'!AV71</f>
        <v>0</v>
      </c>
    </row>
    <row r="90" spans="2:27" x14ac:dyDescent="0.25">
      <c r="I90" s="809"/>
      <c r="J90" s="820"/>
      <c r="P90" s="809"/>
    </row>
    <row r="91" spans="2:27" x14ac:dyDescent="0.25">
      <c r="I91" s="809"/>
      <c r="J91" s="820"/>
      <c r="P91" s="809"/>
    </row>
  </sheetData>
  <sheetProtection sheet="1" objects="1" scenarios="1"/>
  <pageMargins left="0.7" right="0.7" top="0.75" bottom="0.75" header="0.3" footer="0.3"/>
  <pageSetup orientation="portrait" horizontalDpi="0" verticalDpi="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712" id="{051EA142-FBB2-4AB5-A2D0-A1211806781F}">
            <xm:f>'Key inputs &amp; Outputs'!$F$13="No"</xm:f>
            <x14:dxf>
              <font>
                <color theme="0"/>
              </font>
            </x14:dxf>
          </x14:cfRule>
          <xm:sqref>G36 K36:M45</xm:sqref>
        </x14:conditionalFormatting>
        <x14:conditionalFormatting xmlns:xm="http://schemas.microsoft.com/office/excel/2006/main">
          <x14:cfRule type="expression" priority="6765" id="{41329FAD-D75E-48E7-A213-7D0B43CF1424}">
            <xm:f>'Nutrient Calculations'!#REF!&gt;'Nutrient Calculations'!#REF!</xm:f>
            <x14:dxf>
              <fill>
                <patternFill>
                  <bgColor rgb="FFFF0000"/>
                </patternFill>
              </fill>
            </x14:dxf>
          </x14:cfRule>
          <xm:sqref>H87</xm:sqref>
        </x14:conditionalFormatting>
        <x14:conditionalFormatting xmlns:xm="http://schemas.microsoft.com/office/excel/2006/main">
          <x14:cfRule type="expression" priority="6897" id="{B9FA95F4-CD52-446E-AC8A-CA695317180E}">
            <xm:f>'Nutrient Calculations'!$C$51*'Nutrient Calculations'!#REF!&gt;'Nutrient Calculations'!$E$51*'Nutrient Calculations'!#REF!</xm:f>
            <x14:dxf>
              <fill>
                <patternFill>
                  <bgColor rgb="FFFF0000"/>
                </patternFill>
              </fill>
            </x14:dxf>
          </x14:cfRule>
          <xm:sqref>H89</xm:sqref>
        </x14:conditionalFormatting>
        <x14:conditionalFormatting xmlns:xm="http://schemas.microsoft.com/office/excel/2006/main">
          <x14:cfRule type="expression" priority="6761" id="{504CDBF2-CF0E-448D-9E48-4384FAF4237A}">
            <xm:f>'Nutrient Calculations'!$AV$56&gt;'Nutrient Calculations'!$AV$61</xm:f>
            <x14:dxf>
              <fill>
                <patternFill>
                  <bgColor rgb="FFFF0000"/>
                </patternFill>
              </fill>
            </x14:dxf>
          </x14:cfRule>
          <xm:sqref>O87</xm:sqref>
        </x14:conditionalFormatting>
        <x14:conditionalFormatting xmlns:xm="http://schemas.microsoft.com/office/excel/2006/main">
          <x14:cfRule type="expression" priority="6805" id="{8CC372AC-FF16-40F0-9A97-C6E96D6693D5}">
            <xm:f>'Nutrient Calculations'!$AI$51*'Nutrient Calculations'!$AV$56&gt;'Nutrient Calculations'!$AK$51*'Nutrient Calculations'!$AV$61</xm:f>
            <x14:dxf>
              <fill>
                <patternFill>
                  <bgColor rgb="FFFF0000"/>
                </patternFill>
              </fill>
            </x14:dxf>
          </x14:cfRule>
          <xm:sqref>O89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4A78F-6058-4E89-AEF3-18CCBC5BAB6B}">
  <sheetPr codeName="Sheet9"/>
  <dimension ref="A1:AZ133"/>
  <sheetViews>
    <sheetView workbookViewId="0">
      <selection activeCell="A20" sqref="A20"/>
    </sheetView>
  </sheetViews>
  <sheetFormatPr defaultRowHeight="15" x14ac:dyDescent="0.25"/>
  <cols>
    <col min="1" max="1" width="57.7109375" customWidth="1"/>
    <col min="2" max="2" width="17.85546875" customWidth="1"/>
    <col min="3" max="4" width="13" customWidth="1"/>
    <col min="5" max="12" width="15" customWidth="1"/>
    <col min="13" max="13" width="15" style="685" customWidth="1"/>
    <col min="14" max="14" width="15.42578125" customWidth="1"/>
    <col min="15" max="19" width="13.85546875" customWidth="1"/>
    <col min="20" max="20" width="15.5703125" customWidth="1"/>
    <col min="21" max="23" width="13.85546875" customWidth="1"/>
    <col min="24" max="26" width="16.5703125" customWidth="1"/>
    <col min="27" max="27" width="12" customWidth="1"/>
    <col min="28" max="28" width="13" customWidth="1"/>
    <col min="29" max="29" width="12.28515625" customWidth="1"/>
    <col min="30" max="30" width="8.7109375" customWidth="1"/>
    <col min="31" max="31" width="12.5703125" customWidth="1"/>
    <col min="32" max="32" width="20" customWidth="1"/>
    <col min="33" max="33" width="13" customWidth="1"/>
    <col min="34" max="34" width="14.7109375" customWidth="1"/>
    <col min="35" max="36" width="13" customWidth="1"/>
    <col min="37" max="43" width="14.7109375" customWidth="1"/>
    <col min="44" max="44" width="18" customWidth="1"/>
    <col min="45" max="45" width="23.5703125" customWidth="1"/>
    <col min="46" max="46" width="23.28515625" customWidth="1"/>
    <col min="47" max="47" width="10.7109375" customWidth="1"/>
    <col min="48" max="48" width="13.5703125" customWidth="1"/>
    <col min="51" max="51" width="12.140625" customWidth="1"/>
    <col min="52" max="52" width="14.42578125" customWidth="1"/>
  </cols>
  <sheetData>
    <row r="1" spans="1:43" x14ac:dyDescent="0.25">
      <c r="A1" t="s">
        <v>330</v>
      </c>
      <c r="P1" s="424" t="s">
        <v>307</v>
      </c>
      <c r="Q1" s="424"/>
      <c r="R1" s="424"/>
      <c r="S1" s="424"/>
      <c r="T1" s="424"/>
      <c r="U1" s="424"/>
      <c r="V1" s="424"/>
      <c r="W1" s="424"/>
    </row>
    <row r="2" spans="1:43" x14ac:dyDescent="0.25">
      <c r="P2" t="s">
        <v>309</v>
      </c>
      <c r="Y2">
        <v>0.90700000000000003</v>
      </c>
    </row>
    <row r="3" spans="1:43" x14ac:dyDescent="0.25">
      <c r="J3" s="419"/>
      <c r="K3" s="419"/>
      <c r="L3" s="419"/>
      <c r="N3" s="423" t="s">
        <v>306</v>
      </c>
      <c r="P3" t="s">
        <v>310</v>
      </c>
      <c r="Y3">
        <v>0.40500000000000003</v>
      </c>
    </row>
    <row r="4" spans="1:43" x14ac:dyDescent="0.25">
      <c r="N4" s="423" t="s">
        <v>308</v>
      </c>
      <c r="P4" t="s">
        <v>311</v>
      </c>
      <c r="Y4">
        <v>100</v>
      </c>
    </row>
    <row r="5" spans="1:43" x14ac:dyDescent="0.25">
      <c r="P5" t="s">
        <v>312</v>
      </c>
      <c r="Y5" s="442">
        <v>0.45400000000000001</v>
      </c>
    </row>
    <row r="6" spans="1:43" x14ac:dyDescent="0.25">
      <c r="P6" t="s">
        <v>304</v>
      </c>
      <c r="Y6" s="442">
        <v>35.314</v>
      </c>
      <c r="AF6" t="s">
        <v>594</v>
      </c>
    </row>
    <row r="7" spans="1:43" x14ac:dyDescent="0.25">
      <c r="P7" t="s">
        <v>313</v>
      </c>
      <c r="Y7" s="578">
        <v>7.48</v>
      </c>
      <c r="Z7" s="425"/>
    </row>
    <row r="8" spans="1:43" x14ac:dyDescent="0.25">
      <c r="AF8" s="441"/>
    </row>
    <row r="9" spans="1:43" x14ac:dyDescent="0.25">
      <c r="B9" t="s">
        <v>592</v>
      </c>
      <c r="N9" t="s">
        <v>593</v>
      </c>
      <c r="AF9" t="s">
        <v>788</v>
      </c>
    </row>
    <row r="10" spans="1:43" ht="18.75" x14ac:dyDescent="0.3">
      <c r="A10" s="728" t="s">
        <v>599</v>
      </c>
      <c r="B10" s="667"/>
      <c r="C10" s="667"/>
      <c r="D10" s="667"/>
      <c r="E10" s="667"/>
      <c r="F10" s="667"/>
      <c r="G10" s="667"/>
      <c r="H10" s="667"/>
      <c r="I10" s="667"/>
      <c r="J10" s="667"/>
      <c r="K10" s="667"/>
      <c r="L10" s="667"/>
      <c r="N10" s="685"/>
      <c r="O10" s="685"/>
      <c r="P10" s="685"/>
      <c r="Q10" s="685"/>
      <c r="R10" s="685"/>
      <c r="S10" s="685"/>
      <c r="T10" s="685"/>
      <c r="U10" s="685"/>
      <c r="V10" s="685"/>
      <c r="W10" s="685"/>
      <c r="X10" s="685"/>
      <c r="Y10" s="685"/>
      <c r="Z10" s="685"/>
      <c r="AA10" s="685"/>
      <c r="AB10" s="685"/>
      <c r="AC10" s="685"/>
      <c r="AD10" s="685"/>
      <c r="AE10" s="685"/>
      <c r="AF10" s="700"/>
      <c r="AG10" s="700"/>
      <c r="AH10" s="701"/>
      <c r="AI10" s="700"/>
      <c r="AJ10" s="700"/>
      <c r="AK10" s="700"/>
      <c r="AL10" s="700"/>
      <c r="AM10" s="700"/>
      <c r="AN10" s="700"/>
      <c r="AO10" s="700"/>
      <c r="AP10" s="700"/>
      <c r="AQ10" s="700"/>
    </row>
    <row r="11" spans="1:43" x14ac:dyDescent="0.25">
      <c r="A11" t="s">
        <v>331</v>
      </c>
      <c r="B11" s="668">
        <f>B30*Y7/(2000*365)</f>
        <v>81.972602739726028</v>
      </c>
      <c r="C11" s="667" t="s">
        <v>351</v>
      </c>
      <c r="D11" s="667"/>
      <c r="E11" s="667"/>
      <c r="F11" s="667"/>
      <c r="G11" s="667"/>
      <c r="H11" s="667"/>
      <c r="I11" s="667"/>
      <c r="J11" s="667"/>
      <c r="K11" s="667"/>
      <c r="L11" s="667"/>
      <c r="N11" s="686">
        <f>B11</f>
        <v>81.972602739726028</v>
      </c>
      <c r="O11" s="685" t="s">
        <v>351</v>
      </c>
      <c r="P11" s="685"/>
      <c r="Q11" s="685"/>
      <c r="R11" s="685"/>
      <c r="S11" s="685"/>
      <c r="T11" s="685"/>
      <c r="U11" s="685"/>
      <c r="V11" s="685"/>
      <c r="W11" s="685"/>
      <c r="X11" s="685"/>
      <c r="Y11" s="685"/>
      <c r="Z11" s="685"/>
      <c r="AA11" s="685"/>
      <c r="AB11" s="685"/>
      <c r="AC11" s="685"/>
      <c r="AD11" s="685"/>
      <c r="AE11" s="685"/>
      <c r="AF11" s="702">
        <f>N11</f>
        <v>81.972602739726028</v>
      </c>
      <c r="AG11" s="700" t="s">
        <v>351</v>
      </c>
      <c r="AH11" s="700"/>
      <c r="AI11" s="700"/>
      <c r="AJ11" s="700"/>
      <c r="AK11" s="700"/>
      <c r="AL11" s="700"/>
      <c r="AM11" s="700"/>
      <c r="AN11" s="700"/>
      <c r="AO11" s="700"/>
      <c r="AP11" s="700"/>
      <c r="AQ11" s="700"/>
    </row>
    <row r="12" spans="1:43" x14ac:dyDescent="0.25">
      <c r="A12" t="s">
        <v>332</v>
      </c>
      <c r="B12" s="668"/>
      <c r="C12" s="667"/>
      <c r="D12" s="667"/>
      <c r="E12" s="667"/>
      <c r="F12" s="667"/>
      <c r="G12" s="667"/>
      <c r="H12" s="667"/>
      <c r="I12" s="667"/>
      <c r="J12" s="667"/>
      <c r="K12" s="667"/>
      <c r="L12" s="667"/>
      <c r="N12" s="686">
        <f>'Nutrient Inputs'!E4/365</f>
        <v>50</v>
      </c>
      <c r="O12" s="685" t="s">
        <v>351</v>
      </c>
      <c r="P12" s="685"/>
      <c r="Q12" s="685"/>
      <c r="R12" s="685"/>
      <c r="S12" s="685"/>
      <c r="T12" s="685"/>
      <c r="U12" s="685"/>
      <c r="V12" s="685"/>
      <c r="W12" s="685"/>
      <c r="X12" s="685"/>
      <c r="Y12" s="685"/>
      <c r="Z12" s="685"/>
      <c r="AA12" s="685"/>
      <c r="AB12" s="685"/>
      <c r="AC12" s="685"/>
      <c r="AD12" s="685"/>
      <c r="AE12" s="685"/>
      <c r="AF12" s="703">
        <f>N12</f>
        <v>50</v>
      </c>
      <c r="AG12" s="700" t="s">
        <v>351</v>
      </c>
      <c r="AH12" s="700"/>
      <c r="AI12" s="700"/>
      <c r="AJ12" s="700"/>
      <c r="AK12" s="700"/>
      <c r="AL12" s="700"/>
      <c r="AM12" s="700"/>
      <c r="AN12" s="700"/>
      <c r="AO12" s="700"/>
      <c r="AP12" s="700"/>
      <c r="AQ12" s="700"/>
    </row>
    <row r="13" spans="1:43" x14ac:dyDescent="0.25">
      <c r="A13" t="s">
        <v>357</v>
      </c>
      <c r="B13" s="667"/>
      <c r="C13" s="667"/>
      <c r="D13" s="667"/>
      <c r="E13" s="667"/>
      <c r="F13" s="667"/>
      <c r="G13" s="667"/>
      <c r="H13" s="667"/>
      <c r="I13" s="667"/>
      <c r="J13" s="667"/>
      <c r="K13" s="667"/>
      <c r="L13" s="667"/>
      <c r="N13" s="687"/>
      <c r="O13" s="685"/>
      <c r="P13" s="685"/>
      <c r="Q13" s="685"/>
      <c r="R13" s="685"/>
      <c r="S13" s="685"/>
      <c r="T13" s="685"/>
      <c r="U13" s="685"/>
      <c r="V13" s="685"/>
      <c r="W13" s="685"/>
      <c r="X13" s="685"/>
      <c r="Y13" s="685"/>
      <c r="Z13" s="685"/>
      <c r="AA13" s="685"/>
      <c r="AB13" s="685"/>
      <c r="AC13" s="685"/>
      <c r="AD13" s="685"/>
      <c r="AE13" s="685"/>
      <c r="AF13" s="702">
        <f>AF23/AF18</f>
        <v>8.7119849561662956</v>
      </c>
      <c r="AG13" s="700" t="s">
        <v>351</v>
      </c>
      <c r="AH13" s="700"/>
      <c r="AI13" s="700"/>
      <c r="AJ13" s="700"/>
      <c r="AK13" s="700"/>
      <c r="AL13" s="700"/>
      <c r="AM13" s="700"/>
      <c r="AN13" s="700"/>
      <c r="AO13" s="700"/>
      <c r="AP13" s="700"/>
      <c r="AQ13" s="700"/>
    </row>
    <row r="14" spans="1:43" x14ac:dyDescent="0.25">
      <c r="A14" t="s">
        <v>358</v>
      </c>
      <c r="B14" s="668">
        <f>B11</f>
        <v>81.972602739726028</v>
      </c>
      <c r="C14" s="667" t="s">
        <v>351</v>
      </c>
      <c r="D14" s="667"/>
      <c r="E14" s="667"/>
      <c r="F14" s="667"/>
      <c r="G14" s="667"/>
      <c r="H14" s="667"/>
      <c r="I14" s="667"/>
      <c r="J14" s="667"/>
      <c r="K14" s="667"/>
      <c r="L14" s="667"/>
      <c r="N14" s="686">
        <f>SUM(N11:N13)</f>
        <v>131.97260273972603</v>
      </c>
      <c r="O14" s="685" t="s">
        <v>351</v>
      </c>
      <c r="P14" s="685"/>
      <c r="Q14" s="685"/>
      <c r="R14" s="685"/>
      <c r="S14" s="685"/>
      <c r="T14" s="685"/>
      <c r="U14" s="685"/>
      <c r="V14" s="685"/>
      <c r="W14" s="685"/>
      <c r="X14" s="685"/>
      <c r="Y14" s="685"/>
      <c r="Z14" s="685"/>
      <c r="AA14" s="685"/>
      <c r="AB14" s="685"/>
      <c r="AC14" s="685"/>
      <c r="AD14" s="685"/>
      <c r="AE14" s="685"/>
      <c r="AF14" s="702">
        <f>SUM(AF11:AF13)</f>
        <v>140.68458769589233</v>
      </c>
      <c r="AG14" s="700" t="s">
        <v>351</v>
      </c>
      <c r="AH14" s="702"/>
      <c r="AI14" s="700"/>
      <c r="AJ14" s="702"/>
      <c r="AK14" s="700"/>
      <c r="AL14" s="700"/>
      <c r="AM14" s="700"/>
      <c r="AN14" s="700"/>
      <c r="AO14" s="700"/>
      <c r="AP14" s="700"/>
      <c r="AQ14" s="700"/>
    </row>
    <row r="15" spans="1:43" x14ac:dyDescent="0.25">
      <c r="A15" s="424" t="s">
        <v>354</v>
      </c>
      <c r="B15" s="668"/>
      <c r="C15" s="667"/>
      <c r="D15" s="667"/>
      <c r="E15" s="667"/>
      <c r="F15" s="667"/>
      <c r="G15" s="667"/>
      <c r="H15" s="667"/>
      <c r="I15" s="667"/>
      <c r="J15" s="667"/>
      <c r="K15" s="667"/>
      <c r="L15" s="667"/>
      <c r="N15" s="687"/>
      <c r="O15" s="685"/>
      <c r="P15" s="685"/>
      <c r="Q15" s="685"/>
      <c r="R15" s="685"/>
      <c r="S15" s="685"/>
      <c r="T15" s="685"/>
      <c r="U15" s="685"/>
      <c r="V15" s="685"/>
      <c r="W15" s="685"/>
      <c r="X15" s="685"/>
      <c r="Y15" s="685"/>
      <c r="Z15" s="685"/>
      <c r="AA15" s="685"/>
      <c r="AB15" s="685"/>
      <c r="AC15" s="685"/>
      <c r="AD15" s="685"/>
      <c r="AE15" s="685"/>
      <c r="AF15" s="702"/>
      <c r="AG15" s="700"/>
      <c r="AH15" s="700"/>
      <c r="AI15" s="700"/>
      <c r="AJ15" s="700"/>
      <c r="AK15" s="700"/>
      <c r="AL15" s="700"/>
      <c r="AM15" s="700"/>
      <c r="AN15" s="700"/>
      <c r="AO15" s="700"/>
      <c r="AP15" s="700"/>
      <c r="AQ15" s="700"/>
    </row>
    <row r="16" spans="1:43" x14ac:dyDescent="0.25">
      <c r="A16" t="s">
        <v>331</v>
      </c>
      <c r="B16" s="669">
        <f>'Nutrient Inputs'!E6</f>
        <v>0.13</v>
      </c>
      <c r="C16" s="667" t="s">
        <v>362</v>
      </c>
      <c r="D16" s="667"/>
      <c r="E16" s="667"/>
      <c r="F16" s="667"/>
      <c r="G16" s="667"/>
      <c r="H16" s="667"/>
      <c r="I16" s="667"/>
      <c r="J16" s="667"/>
      <c r="K16" s="667"/>
      <c r="L16" s="667"/>
      <c r="N16" s="688">
        <f>B16</f>
        <v>0.13</v>
      </c>
      <c r="O16" s="689" t="str">
        <f>C16</f>
        <v>manure solids %</v>
      </c>
      <c r="P16" s="689"/>
      <c r="Q16" s="689"/>
      <c r="R16" s="689"/>
      <c r="S16" s="689"/>
      <c r="T16" s="689"/>
      <c r="U16" s="689"/>
      <c r="V16" s="689"/>
      <c r="W16" s="689"/>
      <c r="X16" s="685"/>
      <c r="Y16" s="685"/>
      <c r="Z16" s="685"/>
      <c r="AA16" s="685"/>
      <c r="AB16" s="685"/>
      <c r="AC16" s="685"/>
      <c r="AD16" s="685"/>
      <c r="AE16" s="685"/>
      <c r="AF16" s="704">
        <f>N16</f>
        <v>0.13</v>
      </c>
      <c r="AG16" s="702" t="str">
        <f>O16</f>
        <v>manure solids %</v>
      </c>
      <c r="AH16" s="700"/>
      <c r="AI16" s="700"/>
      <c r="AJ16" s="700"/>
      <c r="AK16" s="700"/>
      <c r="AL16" s="700"/>
      <c r="AM16" s="700"/>
      <c r="AN16" s="700"/>
      <c r="AO16" s="700"/>
      <c r="AP16" s="700"/>
      <c r="AQ16" s="700"/>
    </row>
    <row r="17" spans="1:43" x14ac:dyDescent="0.25">
      <c r="A17" t="s">
        <v>332</v>
      </c>
      <c r="B17" s="668"/>
      <c r="C17" s="667"/>
      <c r="D17" s="667"/>
      <c r="E17" s="667"/>
      <c r="F17" s="667"/>
      <c r="G17" s="667"/>
      <c r="H17" s="667"/>
      <c r="I17" s="667"/>
      <c r="J17" s="667"/>
      <c r="K17" s="667"/>
      <c r="L17" s="667"/>
      <c r="N17" s="688">
        <f>'Nutrient Inputs'!E7</f>
        <v>0.2</v>
      </c>
      <c r="O17" s="685" t="s">
        <v>361</v>
      </c>
      <c r="P17" s="685"/>
      <c r="Q17" s="685"/>
      <c r="R17" s="685"/>
      <c r="S17" s="685"/>
      <c r="T17" s="685"/>
      <c r="U17" s="685"/>
      <c r="V17" s="685"/>
      <c r="W17" s="685"/>
      <c r="X17" s="685"/>
      <c r="Y17" s="685"/>
      <c r="Z17" s="685"/>
      <c r="AA17" s="685"/>
      <c r="AB17" s="685"/>
      <c r="AC17" s="685"/>
      <c r="AD17" s="685"/>
      <c r="AE17" s="685"/>
      <c r="AF17" s="704">
        <f>N17</f>
        <v>0.2</v>
      </c>
      <c r="AG17" s="702" t="str">
        <f>O17</f>
        <v>food waste solids %</v>
      </c>
      <c r="AH17" s="700"/>
      <c r="AI17" s="700"/>
      <c r="AJ17" s="700"/>
      <c r="AK17" s="700"/>
      <c r="AL17" s="700"/>
      <c r="AM17" s="700"/>
      <c r="AN17" s="700"/>
      <c r="AO17" s="700"/>
      <c r="AP17" s="700"/>
      <c r="AQ17" s="700"/>
    </row>
    <row r="18" spans="1:43" x14ac:dyDescent="0.25">
      <c r="A18" t="s">
        <v>357</v>
      </c>
      <c r="B18" s="668"/>
      <c r="C18" s="667"/>
      <c r="D18" s="667"/>
      <c r="E18" s="667"/>
      <c r="F18" s="667"/>
      <c r="G18" s="667"/>
      <c r="H18" s="667"/>
      <c r="I18" s="667"/>
      <c r="J18" s="667"/>
      <c r="K18" s="667"/>
      <c r="L18" s="667"/>
      <c r="N18" s="687"/>
      <c r="O18" s="685"/>
      <c r="P18" s="685"/>
      <c r="Q18" s="685"/>
      <c r="R18" s="685"/>
      <c r="S18" s="685"/>
      <c r="T18" s="685"/>
      <c r="U18" s="685"/>
      <c r="V18" s="685"/>
      <c r="W18" s="685"/>
      <c r="X18" s="685"/>
      <c r="Y18" s="685"/>
      <c r="Z18" s="685"/>
      <c r="AA18" s="685"/>
      <c r="AB18" s="685"/>
      <c r="AC18" s="685"/>
      <c r="AD18" s="685"/>
      <c r="AE18" s="685"/>
      <c r="AF18" s="704">
        <f>Switchgrass_Key_Inputs!D23</f>
        <v>0.85</v>
      </c>
      <c r="AG18" s="700" t="s">
        <v>356</v>
      </c>
      <c r="AH18" s="700"/>
      <c r="AI18" s="700"/>
      <c r="AJ18" s="700"/>
      <c r="AK18" s="700"/>
      <c r="AL18" s="700"/>
      <c r="AM18" s="700"/>
      <c r="AN18" s="700"/>
      <c r="AO18" s="700"/>
      <c r="AP18" s="700"/>
      <c r="AQ18" s="700"/>
    </row>
    <row r="19" spans="1:43" x14ac:dyDescent="0.25">
      <c r="A19" t="s">
        <v>358</v>
      </c>
      <c r="B19" s="668"/>
      <c r="C19" s="667"/>
      <c r="D19" s="667"/>
      <c r="E19" s="667"/>
      <c r="F19" s="667"/>
      <c r="G19" s="667"/>
      <c r="H19" s="667"/>
      <c r="I19" s="667"/>
      <c r="J19" s="667"/>
      <c r="K19" s="667"/>
      <c r="L19" s="667"/>
      <c r="N19" s="688">
        <f>(N11*N16+N12*N17)/(N14)</f>
        <v>0.15652065600996473</v>
      </c>
      <c r="O19" s="685" t="s">
        <v>355</v>
      </c>
      <c r="P19" s="685"/>
      <c r="Q19" s="685"/>
      <c r="R19" s="685"/>
      <c r="S19" s="685"/>
      <c r="T19" s="685"/>
      <c r="U19" s="685"/>
      <c r="V19" s="685"/>
      <c r="W19" s="685"/>
      <c r="X19" s="685"/>
      <c r="Y19" s="685"/>
      <c r="Z19" s="685"/>
      <c r="AA19" s="685"/>
      <c r="AB19" s="685"/>
      <c r="AC19" s="685"/>
      <c r="AD19" s="685"/>
      <c r="AE19" s="685"/>
      <c r="AF19" s="704">
        <f>(AF11*AF16+AF12*AF17+AF13*AF18)/(AF14)</f>
        <v>0.1994648172091496</v>
      </c>
      <c r="AG19" s="700" t="s">
        <v>355</v>
      </c>
      <c r="AH19" s="700"/>
      <c r="AI19" s="700"/>
      <c r="AJ19" s="700"/>
      <c r="AK19" s="700"/>
      <c r="AL19" s="700"/>
      <c r="AM19" s="700"/>
      <c r="AN19" s="700"/>
      <c r="AO19" s="700"/>
      <c r="AP19" s="700"/>
      <c r="AQ19" s="700"/>
    </row>
    <row r="20" spans="1:43" ht="18.75" x14ac:dyDescent="0.3">
      <c r="A20" s="728" t="s">
        <v>600</v>
      </c>
      <c r="B20" s="668"/>
      <c r="C20" s="667"/>
      <c r="D20" s="667"/>
      <c r="E20" s="667"/>
      <c r="F20" s="667"/>
      <c r="G20" s="667"/>
      <c r="H20" s="667"/>
      <c r="I20" s="667"/>
      <c r="J20" s="667"/>
      <c r="K20" s="667"/>
      <c r="L20" s="667"/>
      <c r="N20" s="688"/>
      <c r="O20" s="685"/>
      <c r="P20" s="685"/>
      <c r="Q20" s="685"/>
      <c r="R20" s="685"/>
      <c r="S20" s="685"/>
      <c r="T20" s="685"/>
      <c r="U20" s="685"/>
      <c r="V20" s="685"/>
      <c r="W20" s="685"/>
      <c r="X20" s="685"/>
      <c r="Y20" s="685"/>
      <c r="Z20" s="685"/>
      <c r="AA20" s="685"/>
      <c r="AB20" s="685"/>
      <c r="AC20" s="685"/>
      <c r="AD20" s="685"/>
      <c r="AE20" s="685"/>
      <c r="AF20" s="704"/>
      <c r="AG20" s="700"/>
      <c r="AH20" s="700"/>
      <c r="AI20" s="700"/>
      <c r="AJ20" s="700"/>
      <c r="AK20" s="700"/>
      <c r="AL20" s="700"/>
      <c r="AM20" s="700"/>
      <c r="AN20" s="700"/>
      <c r="AO20" s="700"/>
      <c r="AP20" s="700"/>
      <c r="AQ20" s="700"/>
    </row>
    <row r="21" spans="1:43" x14ac:dyDescent="0.25">
      <c r="A21" t="s">
        <v>331</v>
      </c>
      <c r="B21" s="670">
        <f>B11*B$16</f>
        <v>10.656438356164385</v>
      </c>
      <c r="C21" s="667" t="s">
        <v>351</v>
      </c>
      <c r="D21" s="667"/>
      <c r="E21" s="667"/>
      <c r="F21" s="667"/>
      <c r="G21" s="667"/>
      <c r="H21" s="667"/>
      <c r="I21" s="667"/>
      <c r="J21" s="667"/>
      <c r="K21" s="667"/>
      <c r="L21" s="667"/>
      <c r="N21" s="690">
        <f>N11*N$16</f>
        <v>10.656438356164385</v>
      </c>
      <c r="O21" s="685" t="s">
        <v>351</v>
      </c>
      <c r="P21" s="685"/>
      <c r="Q21" s="685"/>
      <c r="R21" s="685"/>
      <c r="S21" s="685"/>
      <c r="T21" s="685"/>
      <c r="U21" s="685"/>
      <c r="V21" s="685"/>
      <c r="W21" s="685"/>
      <c r="X21" s="685"/>
      <c r="Y21" s="685"/>
      <c r="Z21" s="685"/>
      <c r="AA21" s="685"/>
      <c r="AB21" s="685"/>
      <c r="AC21" s="685"/>
      <c r="AD21" s="685"/>
      <c r="AE21" s="685"/>
      <c r="AF21" s="705">
        <f>AF11*AF$16</f>
        <v>10.656438356164385</v>
      </c>
      <c r="AG21" s="700" t="s">
        <v>682</v>
      </c>
      <c r="AH21" s="702" t="str">
        <f>AG16</f>
        <v>manure solids %</v>
      </c>
      <c r="AI21" s="700"/>
      <c r="AJ21" s="700"/>
      <c r="AK21" s="700"/>
      <c r="AL21" s="700"/>
      <c r="AM21" s="700"/>
      <c r="AN21" s="700"/>
      <c r="AO21" s="700"/>
      <c r="AP21" s="700"/>
      <c r="AQ21" s="700"/>
    </row>
    <row r="22" spans="1:43" x14ac:dyDescent="0.25">
      <c r="A22" t="s">
        <v>332</v>
      </c>
      <c r="B22" s="668"/>
      <c r="C22" s="667"/>
      <c r="D22" s="667"/>
      <c r="E22" s="667"/>
      <c r="F22" s="667"/>
      <c r="G22" s="667"/>
      <c r="H22" s="667"/>
      <c r="I22" s="667"/>
      <c r="J22" s="667"/>
      <c r="K22" s="667"/>
      <c r="L22" s="667"/>
      <c r="N22" s="690">
        <f>N12*N$17</f>
        <v>10</v>
      </c>
      <c r="O22" s="685" t="s">
        <v>351</v>
      </c>
      <c r="P22" s="685"/>
      <c r="Q22" s="685"/>
      <c r="R22" s="685"/>
      <c r="S22" s="685"/>
      <c r="T22" s="685"/>
      <c r="U22" s="685"/>
      <c r="V22" s="685"/>
      <c r="W22" s="685"/>
      <c r="X22" s="685"/>
      <c r="Y22" s="685"/>
      <c r="Z22" s="685"/>
      <c r="AA22" s="685"/>
      <c r="AB22" s="685"/>
      <c r="AC22" s="685"/>
      <c r="AD22" s="685"/>
      <c r="AE22" s="685"/>
      <c r="AF22" s="705">
        <f>AF12*AF$17</f>
        <v>10</v>
      </c>
      <c r="AG22" s="700" t="s">
        <v>682</v>
      </c>
      <c r="AH22" s="702" t="str">
        <f>AG17</f>
        <v>food waste solids %</v>
      </c>
      <c r="AI22" s="700"/>
      <c r="AJ22" s="700"/>
      <c r="AK22" s="700"/>
      <c r="AL22" s="700"/>
      <c r="AM22" s="700"/>
      <c r="AN22" s="700"/>
      <c r="AO22" s="700"/>
      <c r="AP22" s="700"/>
      <c r="AQ22" s="700"/>
    </row>
    <row r="23" spans="1:43" x14ac:dyDescent="0.25">
      <c r="A23" t="s">
        <v>357</v>
      </c>
      <c r="B23" s="668"/>
      <c r="C23" s="667"/>
      <c r="D23" s="667"/>
      <c r="E23" s="667"/>
      <c r="F23" s="667"/>
      <c r="G23" s="667"/>
      <c r="H23" s="667"/>
      <c r="I23" s="667"/>
      <c r="J23" s="667"/>
      <c r="K23" s="667"/>
      <c r="L23" s="667"/>
      <c r="N23" s="690"/>
      <c r="O23" s="685"/>
      <c r="P23" s="685"/>
      <c r="Q23" s="685"/>
      <c r="R23" s="685"/>
      <c r="S23" s="685"/>
      <c r="T23" s="685"/>
      <c r="U23" s="685"/>
      <c r="V23" s="685"/>
      <c r="W23" s="685"/>
      <c r="X23" s="685"/>
      <c r="Y23" s="685"/>
      <c r="Z23" s="685"/>
      <c r="AA23" s="685"/>
      <c r="AB23" s="685"/>
      <c r="AC23" s="685"/>
      <c r="AD23" s="685"/>
      <c r="AE23" s="685"/>
      <c r="AF23" s="705">
        <f>Switchgrass_Key_Inputs!L22*Switchgrass_Key_Inputs!D45/365</f>
        <v>7.4051872127413505</v>
      </c>
      <c r="AG23" s="700" t="s">
        <v>682</v>
      </c>
      <c r="AH23" s="702" t="str">
        <f>AG18</f>
        <v>grass solids</v>
      </c>
      <c r="AI23" s="700"/>
      <c r="AJ23" s="700"/>
      <c r="AK23" s="700"/>
      <c r="AL23" s="700"/>
      <c r="AM23" s="700"/>
      <c r="AN23" s="700"/>
      <c r="AO23" s="700"/>
      <c r="AP23" s="700"/>
      <c r="AQ23" s="700"/>
    </row>
    <row r="24" spans="1:43" x14ac:dyDescent="0.25">
      <c r="A24" t="s">
        <v>358</v>
      </c>
      <c r="B24" s="670">
        <f t="shared" ref="B24" si="0">B14*B$16</f>
        <v>10.656438356164385</v>
      </c>
      <c r="C24" s="667" t="s">
        <v>351</v>
      </c>
      <c r="D24" s="667"/>
      <c r="E24" s="671"/>
      <c r="F24" s="667"/>
      <c r="G24" s="667"/>
      <c r="H24" s="667"/>
      <c r="I24" s="667"/>
      <c r="J24" s="667"/>
      <c r="K24" s="667"/>
      <c r="L24" s="667"/>
      <c r="N24" s="690">
        <f>N14*N$19</f>
        <v>20.656438356164387</v>
      </c>
      <c r="O24" s="685" t="s">
        <v>351</v>
      </c>
      <c r="P24" s="685"/>
      <c r="Q24" s="685"/>
      <c r="R24" s="685"/>
      <c r="S24" s="685"/>
      <c r="T24" s="685"/>
      <c r="U24" s="685"/>
      <c r="V24" s="685"/>
      <c r="W24" s="685"/>
      <c r="X24" s="685"/>
      <c r="Y24" s="685"/>
      <c r="Z24" s="685"/>
      <c r="AA24" s="685"/>
      <c r="AB24" s="685"/>
      <c r="AC24" s="685"/>
      <c r="AD24" s="685"/>
      <c r="AE24" s="685"/>
      <c r="AF24" s="705">
        <f>SUM(AF21:AF23)</f>
        <v>28.061625568905736</v>
      </c>
      <c r="AG24" s="700" t="s">
        <v>682</v>
      </c>
      <c r="AH24" s="702" t="str">
        <f>AG19</f>
        <v>total</v>
      </c>
      <c r="AI24" s="700"/>
      <c r="AJ24" s="700"/>
      <c r="AK24" s="700"/>
      <c r="AL24" s="700"/>
      <c r="AM24" s="700"/>
      <c r="AN24" s="700"/>
      <c r="AO24" s="700"/>
      <c r="AP24" s="700"/>
      <c r="AQ24" s="700"/>
    </row>
    <row r="25" spans="1:43" x14ac:dyDescent="0.25">
      <c r="B25" s="672">
        <f>B24*365</f>
        <v>3889.6000000000004</v>
      </c>
      <c r="C25" s="667" t="s">
        <v>399</v>
      </c>
      <c r="D25" s="667"/>
      <c r="E25" s="667"/>
      <c r="F25" s="667"/>
      <c r="G25" s="667"/>
      <c r="H25" s="667"/>
      <c r="I25" s="667"/>
      <c r="J25" s="667"/>
      <c r="K25" s="667"/>
      <c r="L25" s="667"/>
      <c r="N25" s="689">
        <f>N24*365</f>
        <v>7539.6000000000013</v>
      </c>
      <c r="O25" s="685" t="s">
        <v>399</v>
      </c>
      <c r="P25" s="685"/>
      <c r="Q25" s="685"/>
      <c r="R25" s="685"/>
      <c r="S25" s="685"/>
      <c r="T25" s="685"/>
      <c r="U25" s="685"/>
      <c r="V25" s="685"/>
      <c r="W25" s="685"/>
      <c r="X25" s="685"/>
      <c r="Y25" s="685"/>
      <c r="Z25" s="685"/>
      <c r="AA25" s="685"/>
      <c r="AB25" s="685"/>
      <c r="AC25" s="685"/>
      <c r="AD25" s="685"/>
      <c r="AE25" s="687"/>
      <c r="AF25" s="706">
        <f>AF24*365</f>
        <v>10242.493332650594</v>
      </c>
      <c r="AG25" s="700" t="s">
        <v>683</v>
      </c>
      <c r="AH25" s="705"/>
      <c r="AI25" s="700"/>
      <c r="AJ25" s="700"/>
      <c r="AK25" s="700"/>
      <c r="AL25" s="700"/>
      <c r="AM25" s="700"/>
      <c r="AN25" s="700"/>
      <c r="AO25" s="700"/>
      <c r="AP25" s="700"/>
      <c r="AQ25" s="700"/>
    </row>
    <row r="26" spans="1:43" ht="18.75" x14ac:dyDescent="0.3">
      <c r="A26" s="728" t="s">
        <v>598</v>
      </c>
      <c r="B26" s="670"/>
      <c r="C26" s="667"/>
      <c r="D26" s="667"/>
      <c r="E26" s="667"/>
      <c r="F26" s="667"/>
      <c r="G26" s="667"/>
      <c r="H26" s="667"/>
      <c r="I26" s="667"/>
      <c r="J26" s="667"/>
      <c r="K26" s="667"/>
      <c r="L26" s="667"/>
      <c r="N26" s="690"/>
      <c r="O26" s="685"/>
      <c r="P26" s="685"/>
      <c r="Q26" s="685"/>
      <c r="R26" s="685"/>
      <c r="S26" s="685"/>
      <c r="T26" s="685"/>
      <c r="U26" s="685"/>
      <c r="V26" s="685"/>
      <c r="W26" s="685"/>
      <c r="X26" s="685"/>
      <c r="Y26" s="685"/>
      <c r="Z26" s="685"/>
      <c r="AA26" s="685"/>
      <c r="AB26" s="685"/>
      <c r="AC26" s="685"/>
      <c r="AD26" s="685"/>
      <c r="AE26" s="685"/>
      <c r="AF26" s="700"/>
      <c r="AG26" s="700"/>
      <c r="AH26" s="700"/>
      <c r="AI26" s="700"/>
      <c r="AJ26" s="700"/>
      <c r="AK26" s="700"/>
      <c r="AL26" s="700"/>
      <c r="AM26" s="700"/>
      <c r="AN26" s="700"/>
      <c r="AO26" s="700"/>
      <c r="AP26" s="700"/>
      <c r="AQ26" s="700"/>
    </row>
    <row r="27" spans="1:43" x14ac:dyDescent="0.25">
      <c r="A27" t="s">
        <v>331</v>
      </c>
      <c r="B27" s="672">
        <f>B21*2000*365/($Y$7*B$16)</f>
        <v>8000000.0000000009</v>
      </c>
      <c r="C27" s="667" t="s">
        <v>360</v>
      </c>
      <c r="D27" s="667"/>
      <c r="E27" s="667"/>
      <c r="F27" s="667"/>
      <c r="G27" s="667"/>
      <c r="H27" s="667"/>
      <c r="I27" s="667"/>
      <c r="J27" s="667"/>
      <c r="K27" s="667"/>
      <c r="L27" s="667"/>
      <c r="N27" s="689">
        <f>N21*2000*365/($Y$7*N$16)</f>
        <v>8000000.0000000009</v>
      </c>
      <c r="O27" s="685" t="s">
        <v>360</v>
      </c>
      <c r="P27" s="685"/>
      <c r="Q27" s="685"/>
      <c r="R27" s="685"/>
      <c r="S27" s="685"/>
      <c r="T27" s="685"/>
      <c r="U27" s="685"/>
      <c r="V27" s="685"/>
      <c r="W27" s="685"/>
      <c r="X27" s="685"/>
      <c r="Y27" s="685"/>
      <c r="Z27" s="685"/>
      <c r="AA27" s="685"/>
      <c r="AB27" s="685"/>
      <c r="AC27" s="685"/>
      <c r="AD27" s="685"/>
      <c r="AE27" s="687"/>
      <c r="AF27" s="706">
        <f>AF21*2000*365/($Y$7*AF$16)</f>
        <v>8000000.0000000009</v>
      </c>
      <c r="AG27" s="700" t="s">
        <v>360</v>
      </c>
      <c r="AH27" s="700"/>
      <c r="AI27" s="700"/>
      <c r="AJ27" s="700"/>
      <c r="AK27" s="700"/>
      <c r="AL27" s="700"/>
      <c r="AM27" s="700"/>
      <c r="AN27" s="700"/>
      <c r="AO27" s="700"/>
      <c r="AP27" s="700"/>
      <c r="AQ27" s="700"/>
    </row>
    <row r="28" spans="1:43" x14ac:dyDescent="0.25">
      <c r="A28" t="s">
        <v>332</v>
      </c>
      <c r="B28" s="670"/>
      <c r="C28" s="667"/>
      <c r="D28" s="667"/>
      <c r="E28" s="667"/>
      <c r="F28" s="667"/>
      <c r="G28" s="667"/>
      <c r="H28" s="667"/>
      <c r="I28" s="667"/>
      <c r="J28" s="667"/>
      <c r="K28" s="667"/>
      <c r="L28" s="667"/>
      <c r="N28" s="689">
        <f>N22*2000*365/($Y$7*N$17)</f>
        <v>4879679.1443850258</v>
      </c>
      <c r="O28" s="685" t="s">
        <v>360</v>
      </c>
      <c r="P28" s="685"/>
      <c r="Q28" s="685"/>
      <c r="R28" s="685"/>
      <c r="S28" s="685"/>
      <c r="T28" s="685"/>
      <c r="U28" s="685"/>
      <c r="V28" s="685"/>
      <c r="W28" s="685"/>
      <c r="X28" s="685"/>
      <c r="Y28" s="685"/>
      <c r="Z28" s="685"/>
      <c r="AA28" s="685"/>
      <c r="AB28" s="685"/>
      <c r="AC28" s="685"/>
      <c r="AD28" s="685"/>
      <c r="AE28" s="687"/>
      <c r="AF28" s="706">
        <f>AF22*2000*365/($Y$7*AF$17)</f>
        <v>4879679.1443850258</v>
      </c>
      <c r="AG28" s="700" t="s">
        <v>360</v>
      </c>
      <c r="AH28" s="700"/>
      <c r="AI28" s="700"/>
      <c r="AJ28" s="700"/>
      <c r="AK28" s="700"/>
      <c r="AL28" s="700"/>
      <c r="AM28" s="700"/>
      <c r="AN28" s="700"/>
      <c r="AO28" s="700"/>
      <c r="AP28" s="700"/>
      <c r="AQ28" s="700"/>
    </row>
    <row r="29" spans="1:43" x14ac:dyDescent="0.25">
      <c r="A29" t="s">
        <v>357</v>
      </c>
      <c r="B29" s="670"/>
      <c r="C29" s="667"/>
      <c r="D29" s="667"/>
      <c r="E29" s="667"/>
      <c r="F29" s="667"/>
      <c r="G29" s="667"/>
      <c r="H29" s="667"/>
      <c r="I29" s="667"/>
      <c r="J29" s="667"/>
      <c r="K29" s="667"/>
      <c r="L29" s="667"/>
      <c r="N29" s="690"/>
      <c r="O29" s="685"/>
      <c r="P29" s="685"/>
      <c r="Q29" s="685"/>
      <c r="R29" s="685"/>
      <c r="S29" s="685"/>
      <c r="T29" s="685"/>
      <c r="U29" s="685"/>
      <c r="V29" s="685"/>
      <c r="W29" s="685"/>
      <c r="X29" s="685"/>
      <c r="Y29" s="685"/>
      <c r="Z29" s="685"/>
      <c r="AA29" s="685"/>
      <c r="AB29" s="685"/>
      <c r="AC29" s="685"/>
      <c r="AD29" s="685"/>
      <c r="AE29" s="687"/>
      <c r="AF29" s="706">
        <f>AF23*2000*365/($Y$7*AF$18)</f>
        <v>850233.82593601535</v>
      </c>
      <c r="AG29" s="700" t="s">
        <v>360</v>
      </c>
      <c r="AH29" s="700"/>
      <c r="AI29" s="700"/>
      <c r="AJ29" s="700"/>
      <c r="AK29" s="700"/>
      <c r="AL29" s="700"/>
      <c r="AM29" s="700"/>
      <c r="AN29" s="700"/>
      <c r="AO29" s="700"/>
      <c r="AP29" s="700"/>
      <c r="AQ29" s="700"/>
    </row>
    <row r="30" spans="1:43" x14ac:dyDescent="0.25">
      <c r="A30" t="s">
        <v>358</v>
      </c>
      <c r="B30" s="672">
        <f>'Nutrient Inputs'!E3</f>
        <v>8000000</v>
      </c>
      <c r="C30" s="667" t="s">
        <v>360</v>
      </c>
      <c r="D30" s="667"/>
      <c r="E30" s="667"/>
      <c r="F30" s="667"/>
      <c r="G30" s="667"/>
      <c r="H30" s="667"/>
      <c r="I30" s="667"/>
      <c r="J30" s="667"/>
      <c r="K30" s="667"/>
      <c r="L30" s="667"/>
      <c r="N30" s="689">
        <f>N24*2000*365/($Y$7*N$19)</f>
        <v>12879679.144385027</v>
      </c>
      <c r="O30" s="685" t="s">
        <v>360</v>
      </c>
      <c r="P30" s="685"/>
      <c r="Q30" s="685"/>
      <c r="R30" s="685"/>
      <c r="S30" s="685"/>
      <c r="T30" s="685"/>
      <c r="U30" s="685"/>
      <c r="V30" s="685"/>
      <c r="W30" s="685"/>
      <c r="X30" s="685"/>
      <c r="Y30" s="685"/>
      <c r="Z30" s="685"/>
      <c r="AA30" s="685"/>
      <c r="AB30" s="685"/>
      <c r="AC30" s="685"/>
      <c r="AD30" s="685"/>
      <c r="AE30" s="687"/>
      <c r="AF30" s="706">
        <f>AF24*2000*365/($Y$7*AF$19)</f>
        <v>13729912.970321041</v>
      </c>
      <c r="AG30" s="700" t="s">
        <v>360</v>
      </c>
      <c r="AH30" s="706"/>
      <c r="AI30" s="700"/>
      <c r="AJ30" s="700"/>
      <c r="AK30" s="700"/>
      <c r="AL30" s="700"/>
      <c r="AM30" s="700"/>
      <c r="AN30" s="700"/>
      <c r="AO30" s="700"/>
      <c r="AP30" s="700"/>
      <c r="AQ30" s="700"/>
    </row>
    <row r="31" spans="1:43" x14ac:dyDescent="0.25">
      <c r="A31" s="424" t="s">
        <v>359</v>
      </c>
      <c r="B31" s="672"/>
      <c r="C31" s="667"/>
      <c r="D31" s="667"/>
      <c r="E31" s="667"/>
      <c r="F31" s="667"/>
      <c r="G31" s="667"/>
      <c r="H31" s="667"/>
      <c r="I31" s="667"/>
      <c r="J31" s="667"/>
      <c r="K31" s="667"/>
      <c r="L31" s="667"/>
      <c r="N31" s="685"/>
      <c r="O31" s="685"/>
      <c r="P31" s="685"/>
      <c r="Q31" s="685"/>
      <c r="R31" s="685"/>
      <c r="S31" s="685"/>
      <c r="T31" s="689"/>
      <c r="U31" s="689"/>
      <c r="V31" s="689"/>
      <c r="W31" s="689"/>
      <c r="X31" s="685"/>
      <c r="Y31" s="685"/>
      <c r="Z31" s="685"/>
      <c r="AA31" s="685"/>
      <c r="AB31" s="685"/>
      <c r="AC31" s="685"/>
      <c r="AD31" s="685"/>
      <c r="AE31" s="687"/>
      <c r="AF31" s="842" t="s">
        <v>355</v>
      </c>
      <c r="AG31" s="843" t="s">
        <v>623</v>
      </c>
      <c r="AH31" s="706"/>
      <c r="AI31" s="700"/>
      <c r="AJ31" s="700"/>
      <c r="AK31" s="700"/>
      <c r="AL31" s="700"/>
      <c r="AM31" s="700"/>
      <c r="AN31" s="700"/>
      <c r="AO31" s="700"/>
      <c r="AP31" s="700"/>
      <c r="AQ31" s="700"/>
    </row>
    <row r="32" spans="1:43" x14ac:dyDescent="0.25">
      <c r="A32" t="s">
        <v>670</v>
      </c>
      <c r="B32" s="672"/>
      <c r="C32" s="667"/>
      <c r="D32" s="667"/>
      <c r="E32" s="667"/>
      <c r="F32" s="667"/>
      <c r="G32" s="667"/>
      <c r="H32" s="667"/>
      <c r="I32" s="667"/>
      <c r="J32" s="667"/>
      <c r="K32" s="667"/>
      <c r="L32" s="667"/>
      <c r="N32" s="690">
        <f>N14*'Nutrient Inputs'!E10</f>
        <v>121.41479452054796</v>
      </c>
      <c r="O32" s="685" t="s">
        <v>351</v>
      </c>
      <c r="P32" s="685" t="s">
        <v>670</v>
      </c>
      <c r="Q32" s="685"/>
      <c r="R32" s="685"/>
      <c r="S32" s="685"/>
      <c r="T32" s="689"/>
      <c r="U32" s="689"/>
      <c r="V32" s="689"/>
      <c r="W32" s="689"/>
      <c r="X32" s="685"/>
      <c r="Y32" s="685"/>
      <c r="Z32" s="685"/>
      <c r="AA32" s="685"/>
      <c r="AB32" s="685"/>
      <c r="AC32" s="685"/>
      <c r="AD32" s="685"/>
      <c r="AE32" s="687"/>
      <c r="AF32" s="706">
        <f t="shared" ref="AF32:AF38" si="1">AG32+N32</f>
        <v>130.12677947671426</v>
      </c>
      <c r="AG32" s="804">
        <f>AG33/(Switchgrass_Key_Inputs!D23)</f>
        <v>8.7119849561662956</v>
      </c>
      <c r="AH32" s="700" t="s">
        <v>351</v>
      </c>
      <c r="AI32" s="706" t="s">
        <v>670</v>
      </c>
      <c r="AJ32" s="700"/>
      <c r="AK32" s="700"/>
      <c r="AL32" s="700"/>
      <c r="AM32" s="700"/>
      <c r="AN32" s="700"/>
      <c r="AO32" s="700"/>
      <c r="AP32" s="700"/>
      <c r="AQ32" s="700"/>
    </row>
    <row r="33" spans="1:51" x14ac:dyDescent="0.25">
      <c r="A33" t="s">
        <v>669</v>
      </c>
      <c r="B33" s="672"/>
      <c r="C33" s="667"/>
      <c r="D33" s="667"/>
      <c r="E33" s="667"/>
      <c r="F33" s="667"/>
      <c r="G33" s="667"/>
      <c r="H33" s="667"/>
      <c r="I33" s="667"/>
      <c r="J33" s="667"/>
      <c r="K33" s="667"/>
      <c r="L33" s="667"/>
      <c r="N33" s="690">
        <f>N24*'Nutrient Inputs'!E11</f>
        <v>15.49232876712329</v>
      </c>
      <c r="O33" s="685" t="s">
        <v>351</v>
      </c>
      <c r="P33" s="685" t="s">
        <v>669</v>
      </c>
      <c r="Q33" s="685"/>
      <c r="R33" s="685"/>
      <c r="S33" s="685"/>
      <c r="T33" s="689"/>
      <c r="U33" s="689"/>
      <c r="V33" s="689"/>
      <c r="W33" s="685" t="s">
        <v>789</v>
      </c>
      <c r="X33" s="685"/>
      <c r="Y33" s="685"/>
      <c r="Z33" s="685"/>
      <c r="AA33" s="685"/>
      <c r="AB33" s="685"/>
      <c r="AC33" s="685"/>
      <c r="AD33" s="685"/>
      <c r="AE33" s="687"/>
      <c r="AF33" s="706">
        <f t="shared" si="1"/>
        <v>22.897515979864639</v>
      </c>
      <c r="AG33" s="804">
        <f>(Switchgrass_Key_Inputs!L22*Switchgrass_Key_Inputs!D28)/365</f>
        <v>7.4051872127413505</v>
      </c>
      <c r="AH33" s="700" t="s">
        <v>351</v>
      </c>
      <c r="AI33" s="706" t="s">
        <v>669</v>
      </c>
      <c r="AJ33" s="700"/>
      <c r="AK33" s="700"/>
      <c r="AL33" s="700"/>
      <c r="AM33" s="700"/>
      <c r="AN33" s="700"/>
      <c r="AO33" s="700"/>
      <c r="AP33" s="700"/>
      <c r="AQ33" s="700"/>
    </row>
    <row r="34" spans="1:51" x14ac:dyDescent="0.25">
      <c r="A34" t="s">
        <v>571</v>
      </c>
      <c r="B34" s="672"/>
      <c r="C34" s="667"/>
      <c r="D34" s="667"/>
      <c r="E34" s="667"/>
      <c r="F34" s="667"/>
      <c r="G34" s="667"/>
      <c r="H34" s="667"/>
      <c r="I34" s="667"/>
      <c r="J34" s="667"/>
      <c r="K34" s="667"/>
      <c r="L34" s="667"/>
      <c r="N34" s="689">
        <f>'Nutrient Inputs'!E24*(N11*'Nutrient Inputs'!D42+N12*'Nutrient Inputs'!D43)/((1000*$Y$7))*2000*365</f>
        <v>415030.69518716581</v>
      </c>
      <c r="O34" s="685" t="s">
        <v>673</v>
      </c>
      <c r="P34" s="685" t="s">
        <v>571</v>
      </c>
      <c r="Q34" s="685"/>
      <c r="R34" s="685"/>
      <c r="S34" s="685"/>
      <c r="T34" s="689"/>
      <c r="U34" s="689"/>
      <c r="V34" s="689"/>
      <c r="W34" s="847">
        <f>N41/N30</f>
        <v>0.8944110500662269</v>
      </c>
      <c r="X34" s="685"/>
      <c r="Y34" s="685"/>
      <c r="Z34" s="685"/>
      <c r="AA34" s="685"/>
      <c r="AB34" s="685"/>
      <c r="AC34" s="685"/>
      <c r="AD34" s="685"/>
      <c r="AE34" s="687"/>
      <c r="AF34" s="706">
        <f t="shared" si="1"/>
        <v>449297.2338830916</v>
      </c>
      <c r="AG34" s="706">
        <f>AG33*'Nutrient Inputs'!D44*2000*365</f>
        <v>34266.538695925759</v>
      </c>
      <c r="AH34" s="700" t="s">
        <v>673</v>
      </c>
      <c r="AI34" s="706" t="s">
        <v>571</v>
      </c>
      <c r="AJ34" s="700"/>
      <c r="AK34" s="700"/>
      <c r="AL34" s="700"/>
      <c r="AM34" s="700"/>
      <c r="AN34" s="700"/>
      <c r="AO34" s="700"/>
      <c r="AP34" s="700"/>
      <c r="AQ34" s="700"/>
    </row>
    <row r="35" spans="1:51" x14ac:dyDescent="0.25">
      <c r="A35" t="s">
        <v>629</v>
      </c>
      <c r="B35" s="672"/>
      <c r="C35" s="667"/>
      <c r="D35" s="667"/>
      <c r="E35" s="667"/>
      <c r="F35" s="667"/>
      <c r="G35" s="667"/>
      <c r="H35" s="667"/>
      <c r="I35" s="667"/>
      <c r="J35" s="672"/>
      <c r="K35" s="672"/>
      <c r="L35" s="672"/>
      <c r="M35" s="689"/>
      <c r="N35" s="689">
        <f>((N11*'Nutrient Inputs'!E42+N12*'Nutrient Inputs'!E43)*'Nutrient Inputs'!E24/((1000*$Y$7))+'Nutrient Inputs'!E25*(N11*'Nutrient Inputs'!F42+N12*'Nutrient Inputs'!F43)/((1000*$Y$7)))*'Nutrient Inputs'!E24*2000*365</f>
        <v>204756.31016042776</v>
      </c>
      <c r="O35" s="685" t="s">
        <v>673</v>
      </c>
      <c r="P35" s="685" t="s">
        <v>629</v>
      </c>
      <c r="Q35" s="685"/>
      <c r="R35" s="685"/>
      <c r="S35" s="685"/>
      <c r="T35" s="689"/>
      <c r="U35" s="689"/>
      <c r="V35" s="689"/>
      <c r="W35" s="689"/>
      <c r="X35" s="685"/>
      <c r="Y35" s="685"/>
      <c r="Z35" s="685"/>
      <c r="AA35" s="685"/>
      <c r="AB35" s="685"/>
      <c r="AC35" s="685"/>
      <c r="AD35" s="685"/>
      <c r="AE35" s="687"/>
      <c r="AF35" s="706">
        <f t="shared" si="1"/>
        <v>204768.79983341039</v>
      </c>
      <c r="AG35" s="706">
        <f>AG33*'Nutrient Inputs'!E44*2000*365</f>
        <v>12.489672982627145</v>
      </c>
      <c r="AH35" s="700" t="s">
        <v>673</v>
      </c>
      <c r="AI35" s="706" t="s">
        <v>629</v>
      </c>
      <c r="AJ35" s="700"/>
      <c r="AK35" s="700"/>
      <c r="AL35" s="700"/>
      <c r="AM35" s="700"/>
      <c r="AN35" s="700"/>
      <c r="AO35" s="700"/>
      <c r="AP35" s="700"/>
      <c r="AQ35" s="700"/>
    </row>
    <row r="36" spans="1:51" x14ac:dyDescent="0.25">
      <c r="A36" t="s">
        <v>630</v>
      </c>
      <c r="B36" s="672"/>
      <c r="C36" s="667"/>
      <c r="D36" s="667"/>
      <c r="E36" s="667"/>
      <c r="F36" s="667"/>
      <c r="G36" s="667"/>
      <c r="H36" s="667"/>
      <c r="I36" s="667"/>
      <c r="J36" s="667"/>
      <c r="K36" s="667"/>
      <c r="L36" s="667"/>
      <c r="N36" s="689">
        <f>N34-N35</f>
        <v>210274.38502673805</v>
      </c>
      <c r="O36" s="685" t="s">
        <v>673</v>
      </c>
      <c r="P36" s="685" t="s">
        <v>630</v>
      </c>
      <c r="Q36" s="685"/>
      <c r="R36" s="685"/>
      <c r="S36" s="685"/>
      <c r="T36" s="689"/>
      <c r="U36" s="689"/>
      <c r="V36" s="689"/>
      <c r="W36" s="689"/>
      <c r="X36" s="685"/>
      <c r="Y36" s="685"/>
      <c r="Z36" s="685"/>
      <c r="AA36" s="685"/>
      <c r="AB36" s="685"/>
      <c r="AC36" s="685"/>
      <c r="AD36" s="685"/>
      <c r="AE36" s="687"/>
      <c r="AF36" s="706">
        <f t="shared" si="1"/>
        <v>244528.43404968118</v>
      </c>
      <c r="AG36" s="706">
        <f>AG34-AG35</f>
        <v>34254.049022943131</v>
      </c>
      <c r="AH36" s="700" t="s">
        <v>673</v>
      </c>
      <c r="AI36" s="706" t="s">
        <v>630</v>
      </c>
      <c r="AJ36" s="700"/>
      <c r="AK36" s="700"/>
      <c r="AL36" s="700"/>
      <c r="AM36" s="700"/>
      <c r="AN36" s="700"/>
      <c r="AO36" s="700"/>
      <c r="AP36" s="700"/>
      <c r="AQ36" s="700"/>
    </row>
    <row r="37" spans="1:51" x14ac:dyDescent="0.25">
      <c r="A37" t="s">
        <v>671</v>
      </c>
      <c r="B37" s="672"/>
      <c r="C37" s="667"/>
      <c r="D37" s="667"/>
      <c r="E37" s="667"/>
      <c r="F37" s="667"/>
      <c r="G37" s="667"/>
      <c r="H37" s="667"/>
      <c r="I37" s="667"/>
      <c r="J37" s="667"/>
      <c r="K37" s="667"/>
      <c r="L37" s="667"/>
      <c r="N37" s="689">
        <f>(N11*'Nutrient Inputs'!G42+N12*'Nutrient Inputs'!G43)*'Nutrient Inputs'!E24/((1000*$Y$7))*2000*365</f>
        <v>153156.63101604278</v>
      </c>
      <c r="O37" s="685" t="s">
        <v>673</v>
      </c>
      <c r="P37" s="685" t="s">
        <v>671</v>
      </c>
      <c r="Q37" s="685"/>
      <c r="R37" s="685"/>
      <c r="S37" s="685"/>
      <c r="T37" s="689"/>
      <c r="U37" s="689"/>
      <c r="V37" s="689"/>
      <c r="W37" s="689"/>
      <c r="X37" s="685"/>
      <c r="Y37" s="685"/>
      <c r="Z37" s="685"/>
      <c r="AA37" s="685"/>
      <c r="AB37" s="685"/>
      <c r="AC37" s="685"/>
      <c r="AD37" s="685"/>
      <c r="AE37" s="687"/>
      <c r="AF37" s="706">
        <f t="shared" si="1"/>
        <v>162475.84854923381</v>
      </c>
      <c r="AG37" s="706">
        <f>AG33*'Nutrient Inputs'!G44*2000*365</f>
        <v>9319.2175331910257</v>
      </c>
      <c r="AH37" s="700" t="s">
        <v>673</v>
      </c>
      <c r="AI37" s="706" t="s">
        <v>671</v>
      </c>
      <c r="AJ37" s="700"/>
      <c r="AK37" s="700"/>
      <c r="AL37" s="700"/>
      <c r="AM37" s="700"/>
      <c r="AN37" s="700"/>
      <c r="AO37" s="700"/>
      <c r="AP37" s="700"/>
      <c r="AQ37" s="700"/>
    </row>
    <row r="38" spans="1:51" x14ac:dyDescent="0.25">
      <c r="A38" t="s">
        <v>672</v>
      </c>
      <c r="B38" s="672"/>
      <c r="C38" s="667"/>
      <c r="D38" s="667"/>
      <c r="E38" s="667"/>
      <c r="F38" s="667"/>
      <c r="G38" s="667"/>
      <c r="H38" s="667"/>
      <c r="I38" s="667"/>
      <c r="J38" s="667"/>
      <c r="K38" s="667"/>
      <c r="L38" s="667"/>
      <c r="N38" s="689">
        <f>(N11*'Nutrient Inputs'!H42+N12*'Nutrient Inputs'!H43)*'Nutrient Inputs'!E24/((1000*$Y$7))*2000*365</f>
        <v>267796.95187165774</v>
      </c>
      <c r="O38" s="685" t="s">
        <v>673</v>
      </c>
      <c r="P38" s="685" t="s">
        <v>672</v>
      </c>
      <c r="Q38" s="685"/>
      <c r="R38" s="685"/>
      <c r="S38" s="685"/>
      <c r="T38" s="689"/>
      <c r="U38" s="689"/>
      <c r="V38" s="689"/>
      <c r="W38" s="689"/>
      <c r="X38" s="899" t="s">
        <v>744</v>
      </c>
      <c r="Y38" s="685"/>
      <c r="Z38" s="685"/>
      <c r="AA38" s="685"/>
      <c r="AB38" s="685"/>
      <c r="AC38" s="685"/>
      <c r="AD38" s="685"/>
      <c r="AE38" s="687"/>
      <c r="AF38" s="706">
        <f t="shared" si="1"/>
        <v>275899.22690910561</v>
      </c>
      <c r="AG38" s="706">
        <f>AG33*'Nutrient Inputs'!H44*2000*365</f>
        <v>8102.2750374478665</v>
      </c>
      <c r="AH38" s="700" t="s">
        <v>673</v>
      </c>
      <c r="AI38" s="706" t="s">
        <v>672</v>
      </c>
      <c r="AJ38" s="700"/>
      <c r="AK38" s="700"/>
      <c r="AL38" s="700"/>
      <c r="AM38" s="700"/>
      <c r="AN38" s="700"/>
      <c r="AO38" s="700"/>
      <c r="AP38" s="700"/>
      <c r="AQ38" s="700"/>
    </row>
    <row r="39" spans="1:51" x14ac:dyDescent="0.25">
      <c r="B39" s="672"/>
      <c r="C39" s="672"/>
      <c r="D39" s="667"/>
      <c r="E39" s="667"/>
      <c r="F39" s="667"/>
      <c r="G39" s="667"/>
      <c r="H39" s="667"/>
      <c r="I39" s="667"/>
      <c r="J39" s="667"/>
      <c r="K39" s="667"/>
      <c r="L39" s="667"/>
      <c r="N39" s="1107">
        <f>N40*'Nutrient Inputs'!E23</f>
        <v>15.815092579302</v>
      </c>
      <c r="O39" s="685" t="s">
        <v>351</v>
      </c>
      <c r="P39" s="685" t="s">
        <v>871</v>
      </c>
      <c r="Q39" s="685"/>
      <c r="R39" s="685"/>
      <c r="S39" s="685"/>
      <c r="T39" s="685"/>
      <c r="U39" s="685"/>
      <c r="V39" s="685"/>
      <c r="W39" s="685"/>
      <c r="X39" s="686">
        <f>X40/365</f>
        <v>6.7540806482732032</v>
      </c>
      <c r="Y39" s="685" t="s">
        <v>351</v>
      </c>
      <c r="Z39" s="685"/>
      <c r="AA39" s="685"/>
      <c r="AB39" s="685"/>
      <c r="AC39" s="685"/>
      <c r="AD39" s="685"/>
      <c r="AE39" s="687"/>
      <c r="AF39" s="707"/>
      <c r="AG39" s="707"/>
      <c r="AH39" s="700"/>
      <c r="AI39" s="700"/>
      <c r="AJ39" s="700"/>
      <c r="AK39" s="700"/>
      <c r="AL39" s="700"/>
      <c r="AM39" s="700"/>
      <c r="AN39" s="700"/>
      <c r="AO39" s="700"/>
      <c r="AP39" s="700"/>
      <c r="AQ39" s="700"/>
    </row>
    <row r="40" spans="1:51" x14ac:dyDescent="0.25">
      <c r="A40" t="s">
        <v>331</v>
      </c>
      <c r="B40" s="673">
        <f>B11</f>
        <v>81.972602739726028</v>
      </c>
      <c r="C40" s="673" t="str">
        <f>C11</f>
        <v>tons/day</v>
      </c>
      <c r="D40" s="667"/>
      <c r="E40" s="667"/>
      <c r="F40" s="667"/>
      <c r="G40" s="667"/>
      <c r="H40" s="667"/>
      <c r="I40" s="667"/>
      <c r="J40" s="667"/>
      <c r="K40" s="667"/>
      <c r="L40" s="667"/>
      <c r="N40" s="689">
        <f>N41*Y7/(2000*365)</f>
        <v>118.03775419641137</v>
      </c>
      <c r="O40" s="685" t="s">
        <v>351</v>
      </c>
      <c r="P40" s="685" t="s">
        <v>869</v>
      </c>
      <c r="Q40" s="685"/>
      <c r="R40" s="685"/>
      <c r="S40" s="685"/>
      <c r="T40" s="685"/>
      <c r="U40" s="685"/>
      <c r="V40" s="685"/>
      <c r="W40" s="685"/>
      <c r="X40" s="689">
        <f>N77*(1-'Nutrient Inputs'!E18)</f>
        <v>2465.2394366197191</v>
      </c>
      <c r="Y40" s="685" t="s">
        <v>399</v>
      </c>
      <c r="Z40" s="685" t="s">
        <v>772</v>
      </c>
      <c r="AA40" s="685"/>
      <c r="AB40" s="685"/>
      <c r="AC40" s="685"/>
      <c r="AD40" s="685"/>
      <c r="AE40" s="687"/>
      <c r="AF40" s="706">
        <f>AF41*Y7/(2000*365)</f>
        <v>126.74973915257766</v>
      </c>
      <c r="AG40" s="700" t="s">
        <v>351</v>
      </c>
      <c r="AH40" s="700" t="s">
        <v>790</v>
      </c>
      <c r="AI40" s="700"/>
      <c r="AJ40" s="700"/>
      <c r="AK40" s="700"/>
      <c r="AL40" s="700"/>
      <c r="AM40" s="700"/>
      <c r="AN40" s="700"/>
      <c r="AO40" s="709"/>
      <c r="AP40" s="700"/>
      <c r="AQ40" s="700"/>
      <c r="AR40" s="706">
        <f>AF77*(1-'Nutrient Inputs'!E18)</f>
        <v>4178.3408446377007</v>
      </c>
      <c r="AS40" s="700" t="s">
        <v>399</v>
      </c>
      <c r="AT40" s="700" t="s">
        <v>732</v>
      </c>
      <c r="AU40" s="700"/>
      <c r="AV40" s="700"/>
      <c r="AW40" s="700"/>
      <c r="AX40" s="700"/>
      <c r="AY40" s="700"/>
    </row>
    <row r="41" spans="1:51" x14ac:dyDescent="0.25">
      <c r="A41" t="s">
        <v>363</v>
      </c>
      <c r="B41" s="672">
        <f>B40*2000*365/($Y$7)</f>
        <v>8000000.0000000009</v>
      </c>
      <c r="C41" s="667" t="s">
        <v>360</v>
      </c>
      <c r="D41" s="667"/>
      <c r="E41" s="667"/>
      <c r="F41" s="667"/>
      <c r="G41" s="667"/>
      <c r="H41" s="667"/>
      <c r="I41" s="667"/>
      <c r="J41" s="667"/>
      <c r="K41" s="667"/>
      <c r="L41" s="667"/>
      <c r="M41" s="697"/>
      <c r="N41" s="689">
        <f>(N32*2000*365-X40*2000*(1-'Nutrient Inputs'!E18))/Y7</f>
        <v>11519727.348045494</v>
      </c>
      <c r="O41" s="685" t="s">
        <v>360</v>
      </c>
      <c r="P41" s="685" t="s">
        <v>870</v>
      </c>
      <c r="Q41" s="685"/>
      <c r="R41" s="685"/>
      <c r="S41" s="685"/>
      <c r="T41" s="685"/>
      <c r="U41" s="685"/>
      <c r="V41" s="685"/>
      <c r="W41" s="685"/>
      <c r="X41" s="689">
        <f>335+350</f>
        <v>685</v>
      </c>
      <c r="Y41" s="685" t="s">
        <v>430</v>
      </c>
      <c r="Z41" s="685"/>
      <c r="AA41" s="685"/>
      <c r="AB41" s="685"/>
      <c r="AC41" s="685"/>
      <c r="AD41" s="685"/>
      <c r="AE41" s="687"/>
      <c r="AF41" s="706">
        <f>N41+AF13*2000*365/Y7</f>
        <v>12369961.17398151</v>
      </c>
      <c r="AG41" s="700" t="s">
        <v>360</v>
      </c>
      <c r="AH41" s="700" t="s">
        <v>790</v>
      </c>
      <c r="AI41" s="700"/>
      <c r="AJ41" s="700"/>
      <c r="AK41" s="700"/>
      <c r="AL41" s="700"/>
      <c r="AM41" s="700"/>
      <c r="AN41" s="700"/>
      <c r="AO41" s="700"/>
      <c r="AP41" s="700"/>
      <c r="AQ41" s="700"/>
      <c r="AR41" s="708">
        <f>X41</f>
        <v>685</v>
      </c>
      <c r="AS41" s="700" t="s">
        <v>430</v>
      </c>
      <c r="AT41" s="700"/>
      <c r="AU41" s="700"/>
      <c r="AV41" s="700"/>
      <c r="AW41" s="700"/>
      <c r="AX41" s="700"/>
      <c r="AY41" s="700"/>
    </row>
    <row r="42" spans="1:51" s="721" customFormat="1" ht="18.75" x14ac:dyDescent="0.3">
      <c r="A42" s="721" t="s">
        <v>597</v>
      </c>
      <c r="B42" s="722"/>
      <c r="M42" s="722"/>
      <c r="N42" s="722"/>
      <c r="AE42" s="723"/>
      <c r="AF42" s="724"/>
      <c r="AR42" s="700"/>
    </row>
    <row r="43" spans="1:51" ht="60" x14ac:dyDescent="0.25">
      <c r="B43" s="674" t="s">
        <v>596</v>
      </c>
      <c r="C43" s="667" t="s">
        <v>315</v>
      </c>
      <c r="D43" s="674" t="s">
        <v>364</v>
      </c>
      <c r="E43" s="675" t="s">
        <v>568</v>
      </c>
      <c r="F43" s="674" t="s">
        <v>316</v>
      </c>
      <c r="G43" s="674"/>
      <c r="H43" s="674"/>
      <c r="I43" s="674"/>
      <c r="J43" s="667" t="s">
        <v>317</v>
      </c>
      <c r="K43" s="667"/>
      <c r="L43" s="667"/>
      <c r="N43" s="693" t="s">
        <v>791</v>
      </c>
      <c r="O43" s="693" t="s">
        <v>792</v>
      </c>
      <c r="P43" s="685"/>
      <c r="Q43" s="685"/>
      <c r="R43" s="685"/>
      <c r="S43" s="685"/>
      <c r="T43" s="693"/>
      <c r="U43" s="693"/>
      <c r="V43" s="903"/>
      <c r="W43" s="904" t="s">
        <v>769</v>
      </c>
      <c r="X43" s="903" t="s">
        <v>676</v>
      </c>
      <c r="Y43" s="904" t="s">
        <v>661</v>
      </c>
      <c r="Z43" s="693" t="s">
        <v>793</v>
      </c>
      <c r="AA43" s="685"/>
      <c r="AB43" s="685"/>
      <c r="AC43" s="685"/>
      <c r="AD43" s="685"/>
      <c r="AE43" s="685"/>
      <c r="AF43" s="710" t="s">
        <v>768</v>
      </c>
      <c r="AG43" s="710" t="s">
        <v>366</v>
      </c>
      <c r="AH43" s="710" t="s">
        <v>365</v>
      </c>
      <c r="AI43" s="710" t="s">
        <v>792</v>
      </c>
      <c r="AJ43" s="710" t="s">
        <v>791</v>
      </c>
      <c r="AK43" s="710" t="s">
        <v>316</v>
      </c>
      <c r="AL43" s="710"/>
      <c r="AM43" s="710"/>
      <c r="AN43" s="710"/>
      <c r="AO43" s="700" t="s">
        <v>317</v>
      </c>
      <c r="AP43" s="710"/>
      <c r="AQ43" s="710"/>
      <c r="AR43" s="938" t="s">
        <v>769</v>
      </c>
      <c r="AS43" s="917"/>
      <c r="AT43" s="917"/>
      <c r="AU43" s="710"/>
      <c r="AV43" s="942" t="s">
        <v>793</v>
      </c>
      <c r="AW43" s="700"/>
      <c r="AX43" s="700"/>
      <c r="AY43" s="710"/>
    </row>
    <row r="44" spans="1:51" x14ac:dyDescent="0.25">
      <c r="A44" t="s">
        <v>679</v>
      </c>
      <c r="B44" s="676">
        <f>'Nutrient Inputs'!D42</f>
        <v>34.19</v>
      </c>
      <c r="C44" s="677"/>
      <c r="D44" s="672">
        <f>B44*$B$41/1000</f>
        <v>273520</v>
      </c>
      <c r="E44" s="667"/>
      <c r="F44" s="667"/>
      <c r="G44" s="667"/>
      <c r="H44" s="667"/>
      <c r="I44" s="667"/>
      <c r="J44" s="667"/>
      <c r="K44" s="667"/>
      <c r="L44" s="667"/>
      <c r="N44" s="689">
        <f>N34*IF(C74="Yes",(1-'Nutrient Inputs'!D46*(1-'Nutrient Inputs'!E18)),1)</f>
        <v>398429.46737967915</v>
      </c>
      <c r="O44" s="690">
        <f>N44*1000/$N$41</f>
        <v>34.586709853621585</v>
      </c>
      <c r="P44" s="1026"/>
      <c r="Q44" s="685"/>
      <c r="R44" s="685"/>
      <c r="S44" s="688"/>
      <c r="T44" s="694"/>
      <c r="U44" s="694"/>
      <c r="V44" s="903"/>
      <c r="W44" s="905">
        <f>(N34-N44)</f>
        <v>16601.227807486663</v>
      </c>
      <c r="X44" s="906">
        <f>IF($X$40&gt;0,W44/($X$40*2000),0)</f>
        <v>3.3670619496193629E-3</v>
      </c>
      <c r="Y44" s="907">
        <f>X44*2000</f>
        <v>6.7341238992387256</v>
      </c>
      <c r="Z44" s="689">
        <f>W44+N44</f>
        <v>415030.69518716581</v>
      </c>
      <c r="AA44" s="685"/>
      <c r="AB44" s="685"/>
      <c r="AC44" s="689"/>
      <c r="AD44" s="694"/>
      <c r="AE44" s="685"/>
      <c r="AF44" s="701">
        <f>IF('Key inputs &amp; Outputs'!$F$13="yes",'Nutrient Inputs'!D46*(1-'Nutrient Inputs'!$E$18),0)</f>
        <v>0.04</v>
      </c>
      <c r="AG44" s="711">
        <f>'Nutrient Inputs'!D44</f>
        <v>6.3388625592417057E-3</v>
      </c>
      <c r="AH44" s="706">
        <f>AG34*(1-$AF$44)</f>
        <v>32895.87714808873</v>
      </c>
      <c r="AI44" s="703">
        <f>AJ44*1000/$AF$41</f>
        <v>34.868771086767886</v>
      </c>
      <c r="AJ44" s="706">
        <f>AH44+N44</f>
        <v>431325.34452776785</v>
      </c>
      <c r="AK44" s="700"/>
      <c r="AL44" s="700"/>
      <c r="AM44" s="700"/>
      <c r="AN44" s="700"/>
      <c r="AO44" s="700"/>
      <c r="AP44" s="701"/>
      <c r="AQ44" s="701"/>
      <c r="AR44" s="918">
        <f>(AF34-AJ44)</f>
        <v>17971.889355323743</v>
      </c>
      <c r="AS44" s="919">
        <f>IF($AR$40&gt;0,AR44/$AR$40,0)</f>
        <v>4.3012023249343283</v>
      </c>
      <c r="AT44" s="917"/>
      <c r="AU44" s="706"/>
      <c r="AV44" s="706">
        <f>AR44+AJ44</f>
        <v>449297.2338830916</v>
      </c>
      <c r="AW44" s="700"/>
      <c r="AX44" s="700"/>
      <c r="AY44" s="701"/>
    </row>
    <row r="45" spans="1:51" x14ac:dyDescent="0.25">
      <c r="A45" t="s">
        <v>631</v>
      </c>
      <c r="B45" s="676">
        <f>'Nutrient Inputs'!E42</f>
        <v>11.89</v>
      </c>
      <c r="C45" s="677"/>
      <c r="D45" s="672">
        <f>B45*$B$41/1000</f>
        <v>95120.000000000015</v>
      </c>
      <c r="E45" s="667"/>
      <c r="F45" s="667"/>
      <c r="G45" s="667"/>
      <c r="H45" s="667"/>
      <c r="I45" s="667"/>
      <c r="J45" s="667"/>
      <c r="K45" s="667"/>
      <c r="L45" s="667"/>
      <c r="N45" s="689">
        <f>N35*IF(C74="Yes",(1-'Nutrient Inputs'!E46*(1-'Nutrient Inputs'!E18)),1)</f>
        <v>197589.83930481278</v>
      </c>
      <c r="O45" s="690">
        <f t="shared" ref="O45:O48" si="2">N45*1000/$N$41</f>
        <v>17.152301728594043</v>
      </c>
      <c r="P45" s="1026"/>
      <c r="Q45" s="685"/>
      <c r="R45" s="685"/>
      <c r="S45" s="688"/>
      <c r="T45" s="694"/>
      <c r="U45" s="694"/>
      <c r="V45" s="903"/>
      <c r="W45" s="905">
        <f>(N35-N45)</f>
        <v>7166.4708556149853</v>
      </c>
      <c r="X45" s="906">
        <f>IF($X$40&gt;0,W45/($X$40*2000),0)</f>
        <v>1.4535040185470766E-3</v>
      </c>
      <c r="Y45" s="907">
        <f>X45*2000</f>
        <v>2.9070080370941533</v>
      </c>
      <c r="Z45" s="689">
        <f>W45+N45</f>
        <v>204756.31016042776</v>
      </c>
      <c r="AA45" s="685"/>
      <c r="AB45" s="685"/>
      <c r="AC45" s="685"/>
      <c r="AD45" s="694"/>
      <c r="AE45" s="685"/>
      <c r="AF45" s="701">
        <f>IF('Key inputs &amp; Outputs'!$F$13="yes",'Nutrient Inputs'!E46*(1-'Nutrient Inputs'!$E$18),0)</f>
        <v>3.5000000000000003E-2</v>
      </c>
      <c r="AG45" s="711">
        <f>'Nutrient Inputs'!E44</f>
        <v>2.31042654028436E-6</v>
      </c>
      <c r="AH45" s="706">
        <f>AG35*(1-$AF$44)</f>
        <v>11.990086063322059</v>
      </c>
      <c r="AI45" s="703">
        <f t="shared" ref="AI45:AI48" si="3">AJ45*1000/$AF$41</f>
        <v>15.974328990337014</v>
      </c>
      <c r="AJ45" s="706">
        <f>AH45+N45</f>
        <v>197601.82939087611</v>
      </c>
      <c r="AK45" s="700"/>
      <c r="AL45" s="700"/>
      <c r="AM45" s="700"/>
      <c r="AN45" s="700"/>
      <c r="AO45" s="700"/>
      <c r="AP45" s="701"/>
      <c r="AQ45" s="701"/>
      <c r="AR45" s="918">
        <f t="shared" ref="AR45:AR48" si="4">(AF35-AJ45)</f>
        <v>7166.9704425342788</v>
      </c>
      <c r="AS45" s="919">
        <f t="shared" ref="AS45:AS48" si="5">IF($AR$40&gt;0,AR45/$AR$40,0)</f>
        <v>1.7152670662882983</v>
      </c>
      <c r="AT45" s="917"/>
      <c r="AU45" s="706"/>
      <c r="AV45" s="706">
        <f>AR45+AJ45</f>
        <v>204768.79983341039</v>
      </c>
      <c r="AW45" s="700"/>
      <c r="AX45" s="700"/>
      <c r="AY45" s="701"/>
    </row>
    <row r="46" spans="1:51" x14ac:dyDescent="0.25">
      <c r="A46" t="s">
        <v>632</v>
      </c>
      <c r="B46" s="676">
        <f>'Nutrient Inputs'!F42</f>
        <v>22.299999999999997</v>
      </c>
      <c r="C46" s="677"/>
      <c r="D46" s="672">
        <f>B46*$B$41/1000</f>
        <v>178400</v>
      </c>
      <c r="E46" s="667"/>
      <c r="F46" s="667"/>
      <c r="G46" s="667"/>
      <c r="H46" s="667"/>
      <c r="I46" s="667"/>
      <c r="J46" s="667"/>
      <c r="K46" s="667"/>
      <c r="L46" s="667"/>
      <c r="M46" s="689"/>
      <c r="N46" s="689">
        <f>N44-N45</f>
        <v>200839.62807486637</v>
      </c>
      <c r="O46" s="690">
        <f t="shared" si="2"/>
        <v>17.434408125027545</v>
      </c>
      <c r="P46" s="1025"/>
      <c r="Q46" s="685"/>
      <c r="R46" s="685"/>
      <c r="S46" s="688"/>
      <c r="T46" s="694"/>
      <c r="U46" s="694"/>
      <c r="V46" s="903"/>
      <c r="W46" s="905">
        <f>(N36-N46)</f>
        <v>9434.7569518716773</v>
      </c>
      <c r="X46" s="906">
        <f>IF($X$40&gt;0,W46/($X$40*2000),0)</f>
        <v>1.9135579310722865E-3</v>
      </c>
      <c r="Y46" s="907">
        <f>X46*2000</f>
        <v>3.8271158621445731</v>
      </c>
      <c r="Z46" s="689">
        <f>W46+N46</f>
        <v>210274.38502673805</v>
      </c>
      <c r="AA46" s="685"/>
      <c r="AB46" s="685"/>
      <c r="AC46" s="685"/>
      <c r="AD46" s="694"/>
      <c r="AE46" s="685"/>
      <c r="AF46" s="701">
        <f>(W46/(N46+W46))</f>
        <v>4.4868788705157661E-2</v>
      </c>
      <c r="AG46" s="711">
        <f>'Nutrient Inputs'!F44</f>
        <v>6.3365521327014215E-3</v>
      </c>
      <c r="AH46" s="706">
        <f>AH44-AH45</f>
        <v>32883.887062025409</v>
      </c>
      <c r="AI46" s="703">
        <f t="shared" si="3"/>
        <v>18.894442096430879</v>
      </c>
      <c r="AJ46" s="706">
        <f>AH46+N46</f>
        <v>233723.51513689177</v>
      </c>
      <c r="AK46" s="700"/>
      <c r="AL46" s="700"/>
      <c r="AM46" s="700"/>
      <c r="AN46" s="700"/>
      <c r="AO46" s="700"/>
      <c r="AP46" s="701"/>
      <c r="AQ46" s="701"/>
      <c r="AR46" s="918">
        <f t="shared" si="4"/>
        <v>10804.918912789406</v>
      </c>
      <c r="AS46" s="919">
        <f t="shared" si="5"/>
        <v>2.5859352586460163</v>
      </c>
      <c r="AT46" s="917"/>
      <c r="AU46" s="706"/>
      <c r="AV46" s="706">
        <f>AR46+AJ46</f>
        <v>244528.43404968118</v>
      </c>
      <c r="AW46" s="700"/>
      <c r="AX46" s="700"/>
      <c r="AY46" s="701"/>
    </row>
    <row r="47" spans="1:51" x14ac:dyDescent="0.25">
      <c r="A47" t="s">
        <v>318</v>
      </c>
      <c r="B47" s="676">
        <f>'Nutrient Inputs'!G42</f>
        <v>12.74</v>
      </c>
      <c r="C47" s="677"/>
      <c r="D47" s="672">
        <f>B47*$B$41/1000</f>
        <v>101920.00000000001</v>
      </c>
      <c r="E47" s="667"/>
      <c r="F47" s="667"/>
      <c r="G47" s="667"/>
      <c r="H47" s="667"/>
      <c r="I47" s="667"/>
      <c r="J47" s="667"/>
      <c r="K47" s="667"/>
      <c r="L47" s="667"/>
      <c r="N47" s="689">
        <f>N37*IF(C74="Yes",(1-'Nutrient Inputs'!G46*(1-'Nutrient Inputs'!E18)),1)</f>
        <v>127120.00374331551</v>
      </c>
      <c r="O47" s="690">
        <f t="shared" si="2"/>
        <v>11.03498371989537</v>
      </c>
      <c r="P47" s="1026"/>
      <c r="Q47" s="685"/>
      <c r="R47" s="685"/>
      <c r="S47" s="685"/>
      <c r="T47" s="694"/>
      <c r="U47" s="694"/>
      <c r="V47" s="903"/>
      <c r="W47" s="905">
        <f>(N37-N47)</f>
        <v>26036.627272727274</v>
      </c>
      <c r="X47" s="906">
        <f>IF($X$40&gt;0,W47/($X$40*2000),0)</f>
        <v>5.2807501952889637E-3</v>
      </c>
      <c r="Y47" s="907">
        <f>X47*2000</f>
        <v>10.561500390577928</v>
      </c>
      <c r="Z47" s="689">
        <f>W47+N47</f>
        <v>153156.63101604278</v>
      </c>
      <c r="AA47" s="685"/>
      <c r="AB47" s="685"/>
      <c r="AC47" s="685"/>
      <c r="AD47" s="694"/>
      <c r="AE47" s="685"/>
      <c r="AF47" s="701">
        <f>IF('Key inputs &amp; Outputs'!$F$13="yes",'Nutrient Inputs'!G46*(1-'Nutrient Inputs'!$E$18),0)</f>
        <v>0.17</v>
      </c>
      <c r="AG47" s="711">
        <f>'Nutrient Inputs'!G44</f>
        <v>1.7239336492890997E-3</v>
      </c>
      <c r="AH47" s="706">
        <f>AG37*(1-$AF$44)</f>
        <v>8946.4488318633848</v>
      </c>
      <c r="AI47" s="703">
        <f t="shared" si="3"/>
        <v>10.999747748713691</v>
      </c>
      <c r="AJ47" s="706">
        <f>AH47+N47</f>
        <v>136066.4525751789</v>
      </c>
      <c r="AK47" s="700"/>
      <c r="AL47" s="700"/>
      <c r="AM47" s="700"/>
      <c r="AN47" s="700"/>
      <c r="AO47" s="700"/>
      <c r="AP47" s="701"/>
      <c r="AQ47" s="701"/>
      <c r="AR47" s="918">
        <f t="shared" si="4"/>
        <v>26409.395974054903</v>
      </c>
      <c r="AS47" s="919">
        <f t="shared" si="5"/>
        <v>6.3205461105327405</v>
      </c>
      <c r="AT47" s="917"/>
      <c r="AU47" s="706"/>
      <c r="AV47" s="706">
        <f>AR47+AJ47</f>
        <v>162475.84854923381</v>
      </c>
      <c r="AW47" s="700"/>
      <c r="AX47" s="700"/>
      <c r="AY47" s="701"/>
    </row>
    <row r="48" spans="1:51" x14ac:dyDescent="0.25">
      <c r="A48" t="s">
        <v>319</v>
      </c>
      <c r="B48" s="676">
        <f>'Nutrient Inputs'!H42</f>
        <v>27.68</v>
      </c>
      <c r="C48" s="677"/>
      <c r="D48" s="672">
        <f>B48*$B$41/1000</f>
        <v>221440.00000000003</v>
      </c>
      <c r="E48" s="667"/>
      <c r="F48" s="667"/>
      <c r="G48" s="667"/>
      <c r="H48" s="667"/>
      <c r="I48" s="667"/>
      <c r="J48" s="667"/>
      <c r="K48" s="667"/>
      <c r="L48" s="667"/>
      <c r="N48" s="689">
        <f>N38*IF(C74="Yes",(1-'Nutrient Inputs'!H46*(1-'Nutrient Inputs'!E18)),1)</f>
        <v>254407.10427807484</v>
      </c>
      <c r="O48" s="690">
        <f t="shared" si="2"/>
        <v>22.084472712910088</v>
      </c>
      <c r="P48" s="685"/>
      <c r="Q48" s="685"/>
      <c r="R48" s="685"/>
      <c r="S48" s="685"/>
      <c r="T48" s="694"/>
      <c r="U48" s="694"/>
      <c r="V48" s="903"/>
      <c r="W48" s="905">
        <f>(N38-N48)</f>
        <v>13389.847593582905</v>
      </c>
      <c r="X48" s="906">
        <f>IF($X$40&gt;0,W48/($X$40*2000),0)</f>
        <v>2.7157296355648851E-3</v>
      </c>
      <c r="Y48" s="907">
        <f>X48*2000</f>
        <v>5.4314592711297704</v>
      </c>
      <c r="Z48" s="689">
        <f>W48+N48</f>
        <v>267796.95187165774</v>
      </c>
      <c r="AA48" s="685"/>
      <c r="AB48" s="685"/>
      <c r="AC48" s="685"/>
      <c r="AD48" s="694"/>
      <c r="AE48" s="685"/>
      <c r="AF48" s="701">
        <f>IF('Key inputs &amp; Outputs'!$F$13="yes",'Nutrient Inputs'!H46*(1-'Nutrient Inputs'!$E$18),0)</f>
        <v>0.05</v>
      </c>
      <c r="AG48" s="711">
        <f>'Nutrient Inputs'!H44</f>
        <v>1.4988151658767771E-3</v>
      </c>
      <c r="AH48" s="706">
        <f>AG38*(1-$AF$44)</f>
        <v>7778.1840359499511</v>
      </c>
      <c r="AI48" s="703">
        <f t="shared" si="3"/>
        <v>21.195320229904603</v>
      </c>
      <c r="AJ48" s="706">
        <f>AH48+N48</f>
        <v>262185.2883140248</v>
      </c>
      <c r="AK48" s="700"/>
      <c r="AL48" s="700"/>
      <c r="AM48" s="700"/>
      <c r="AN48" s="700"/>
      <c r="AO48" s="700"/>
      <c r="AP48" s="701"/>
      <c r="AQ48" s="701"/>
      <c r="AR48" s="918">
        <f t="shared" si="4"/>
        <v>13713.938595080806</v>
      </c>
      <c r="AS48" s="919">
        <f t="shared" si="5"/>
        <v>3.2821493279277765</v>
      </c>
      <c r="AT48" s="917"/>
      <c r="AU48" s="706"/>
      <c r="AV48" s="706">
        <f>AR48+AJ48</f>
        <v>275899.22690910561</v>
      </c>
      <c r="AW48" s="700"/>
      <c r="AX48" s="700"/>
      <c r="AY48" s="701"/>
    </row>
    <row r="49" spans="1:52" ht="29.25" customHeight="1" x14ac:dyDescent="0.25">
      <c r="B49" s="677"/>
      <c r="C49" s="955" t="s">
        <v>817</v>
      </c>
      <c r="D49" s="955" t="s">
        <v>882</v>
      </c>
      <c r="E49" s="675" t="s">
        <v>568</v>
      </c>
      <c r="F49" s="674" t="s">
        <v>822</v>
      </c>
      <c r="G49" s="667" t="s">
        <v>317</v>
      </c>
      <c r="H49" s="674" t="s">
        <v>883</v>
      </c>
      <c r="I49" s="667" t="s">
        <v>317</v>
      </c>
      <c r="J49" s="674" t="s">
        <v>878</v>
      </c>
      <c r="K49" s="955" t="s">
        <v>880</v>
      </c>
      <c r="L49" s="674" t="s">
        <v>879</v>
      </c>
      <c r="M49" s="693"/>
      <c r="N49" s="953" t="s">
        <v>817</v>
      </c>
      <c r="O49" s="954" t="s">
        <v>882</v>
      </c>
      <c r="P49" s="693" t="s">
        <v>822</v>
      </c>
      <c r="Q49" s="693" t="s">
        <v>317</v>
      </c>
      <c r="R49" s="693" t="s">
        <v>823</v>
      </c>
      <c r="S49" s="693" t="s">
        <v>317</v>
      </c>
      <c r="T49" s="693" t="s">
        <v>885</v>
      </c>
      <c r="U49" s="693" t="s">
        <v>879</v>
      </c>
      <c r="V49" s="934" t="s">
        <v>817</v>
      </c>
      <c r="W49" s="934"/>
      <c r="X49" s="934" t="s">
        <v>820</v>
      </c>
      <c r="Y49" s="935" t="s">
        <v>821</v>
      </c>
      <c r="Z49" s="685"/>
      <c r="AA49" s="685"/>
      <c r="AB49" s="685"/>
      <c r="AC49" s="685"/>
      <c r="AD49" s="694"/>
      <c r="AE49" s="685"/>
      <c r="AF49" s="700"/>
      <c r="AG49" s="711"/>
      <c r="AH49" s="959" t="s">
        <v>568</v>
      </c>
      <c r="AI49" s="956" t="s">
        <v>817</v>
      </c>
      <c r="AJ49" s="956" t="s">
        <v>882</v>
      </c>
      <c r="AK49" s="710" t="s">
        <v>822</v>
      </c>
      <c r="AL49" s="710" t="s">
        <v>317</v>
      </c>
      <c r="AM49" s="710" t="s">
        <v>823</v>
      </c>
      <c r="AN49" s="700" t="s">
        <v>317</v>
      </c>
      <c r="AO49" s="710" t="s">
        <v>821</v>
      </c>
      <c r="AP49" s="1040" t="s">
        <v>880</v>
      </c>
      <c r="AQ49" s="1040" t="s">
        <v>879</v>
      </c>
      <c r="AR49" s="918"/>
      <c r="AS49" s="1105" t="s">
        <v>316</v>
      </c>
      <c r="AT49" s="1106" t="s">
        <v>317</v>
      </c>
      <c r="AU49" s="706"/>
      <c r="AV49" s="700"/>
      <c r="AW49" s="700"/>
      <c r="AX49" s="700"/>
      <c r="AY49" s="701"/>
      <c r="AZ49" s="700"/>
    </row>
    <row r="50" spans="1:52" x14ac:dyDescent="0.25">
      <c r="A50" t="s">
        <v>320</v>
      </c>
      <c r="B50" s="678">
        <f>'Nutrient Inputs'!D57</f>
        <v>0.77</v>
      </c>
      <c r="C50" s="672">
        <f>IF(AND($D$56&gt;0,E56&gt;0),D44*'Nutrient Inputs'!D50/$E$56,0)</f>
        <v>140</v>
      </c>
      <c r="D50" s="672">
        <f>B44*'Nutrient Inputs'!$D$50*D60/1000</f>
        <v>37.190934065934059</v>
      </c>
      <c r="E50" s="672">
        <f>('Nutrient Inputs'!D56*'Nutrient Inputs'!$M$5*'Nutrient Inputs'!$E$28)/('Nutrient Inputs'!$M$5*'Nutrient Inputs'!$E$28)</f>
        <v>140</v>
      </c>
      <c r="F50" s="973">
        <f>MIN(E50,C50)</f>
        <v>140</v>
      </c>
      <c r="G50" s="974">
        <f>F50*B50</f>
        <v>107.8</v>
      </c>
      <c r="H50" s="973">
        <f>MIN(D50,E50)</f>
        <v>37.190934065934059</v>
      </c>
      <c r="I50" s="974">
        <f>H50*B50</f>
        <v>28.637019230769226</v>
      </c>
      <c r="J50" s="684">
        <f>IF($G$68&gt;$I$68,G50,I50)</f>
        <v>28.637019230769226</v>
      </c>
      <c r="K50" s="672">
        <f>MIN(B44*'Nutrient Inputs'!$D$50*D61/1000,E50)</f>
        <v>36.641499999999994</v>
      </c>
      <c r="L50" s="684">
        <f>K50*B50</f>
        <v>28.213954999999995</v>
      </c>
      <c r="M50" s="695"/>
      <c r="N50" s="691">
        <f>E50</f>
        <v>140</v>
      </c>
      <c r="O50" s="691">
        <f>O44*'Nutrient Inputs'!$D$51*N60/1000</f>
        <v>54.127581427828162</v>
      </c>
      <c r="P50" s="696">
        <f>IFERROR(MIN(N50,E50),0)</f>
        <v>140</v>
      </c>
      <c r="Q50" s="692">
        <f>P50*$B50</f>
        <v>107.8</v>
      </c>
      <c r="R50" s="696">
        <f>MIN(E50,O50)</f>
        <v>54.127581427828162</v>
      </c>
      <c r="S50" s="692">
        <f>R50*$B50</f>
        <v>41.678237699427683</v>
      </c>
      <c r="T50" s="691">
        <f>MIN(O44*'Nutrient Inputs'!$D$51*N61/1000,E50)</f>
        <v>53.845245877040611</v>
      </c>
      <c r="U50" s="692">
        <f>T50*B50</f>
        <v>41.460839325321274</v>
      </c>
      <c r="V50" s="905">
        <f>X61*Y44*'Nutrient Inputs'!D52</f>
        <v>52.032775543808974</v>
      </c>
      <c r="W50" s="936"/>
      <c r="X50" s="936">
        <f>MIN(V50,E50)</f>
        <v>52.032775543808974</v>
      </c>
      <c r="Y50" s="937">
        <f>X50*B50</f>
        <v>40.065237168732914</v>
      </c>
      <c r="Z50" s="685"/>
      <c r="AA50" s="685"/>
      <c r="AB50" s="685"/>
      <c r="AC50" s="694"/>
      <c r="AD50" s="685"/>
      <c r="AE50" s="685"/>
      <c r="AF50" s="712"/>
      <c r="AG50" s="700"/>
      <c r="AH50" s="708">
        <f>('Nutrient Inputs'!D56*'Nutrient Inputs'!$M$5*'Nutrient Inputs'!$E$28+Switchgrass_Budget!S31*Switchgrass_Key_Inputs!$L$22)/('Nutrient Inputs'!$M$5*'Nutrient Inputs'!$E$28+Switchgrass_Key_Inputs!$L$22)</f>
        <v>126.64285714285714</v>
      </c>
      <c r="AI50" s="713">
        <f>AH50</f>
        <v>126.64285714285714</v>
      </c>
      <c r="AJ50" s="706">
        <f>AI44*'Nutrient Inputs'!$D$51*AJ60/1000</f>
        <v>52.316617244561442</v>
      </c>
      <c r="AK50" s="897">
        <f>IFERROR(MIN(AI50,AH50),0)</f>
        <v>126.64285714285714</v>
      </c>
      <c r="AL50" s="717">
        <f>AK50*$B50</f>
        <v>97.515000000000001</v>
      </c>
      <c r="AM50" s="897">
        <f>MIN(E50,AJ50)</f>
        <v>52.316617244561442</v>
      </c>
      <c r="AN50" s="717">
        <f t="shared" ref="AN50:AN52" si="6">AM50*$B50</f>
        <v>40.283795278312311</v>
      </c>
      <c r="AO50" s="709">
        <f>IF($AL$68&gt;$AN$68,AL50,AN50)</f>
        <v>40.283795278312311</v>
      </c>
      <c r="AP50" s="1041">
        <f>MIN(AI44*'Nutrient Inputs'!$D$51*AJ61/1000,E50)</f>
        <v>52.892457381229761</v>
      </c>
      <c r="AQ50" s="1045">
        <f>AP50*B50</f>
        <v>40.727192183546919</v>
      </c>
      <c r="AR50" s="939">
        <f>V50</f>
        <v>52.032775543808974</v>
      </c>
      <c r="AS50" s="939">
        <f>MIN(AR50,AH50)</f>
        <v>52.032775543808974</v>
      </c>
      <c r="AT50" s="940">
        <f>AS50*B50</f>
        <v>40.065237168732914</v>
      </c>
      <c r="AU50" s="706"/>
      <c r="AV50" s="700"/>
      <c r="AW50" s="700"/>
      <c r="AX50" s="700"/>
      <c r="AY50" s="701"/>
      <c r="AZ50" s="700"/>
    </row>
    <row r="51" spans="1:52" x14ac:dyDescent="0.25">
      <c r="A51" t="s">
        <v>322</v>
      </c>
      <c r="B51" s="678">
        <f>'Nutrient Inputs'!G57</f>
        <v>0.65</v>
      </c>
      <c r="C51" s="672">
        <f>IF(AND($D$56&gt;0,E56&gt;0),D47*'Nutrient Inputs'!G50/$E$56,0)</f>
        <v>112.93074792243769</v>
      </c>
      <c r="D51" s="672">
        <f>B47*'Nutrient Inputs'!$G$50*D60/1000</f>
        <v>30.000000000000004</v>
      </c>
      <c r="E51" s="672">
        <f>('Nutrient Inputs'!G56*'Nutrient Inputs'!$M$5*'Nutrient Inputs'!$E$28)/('Nutrient Inputs'!$M$5*'Nutrient Inputs'!$E$28)</f>
        <v>30</v>
      </c>
      <c r="F51" s="681">
        <f>MIN(E51,C51)</f>
        <v>30</v>
      </c>
      <c r="G51" s="683">
        <f>F51*B51</f>
        <v>19.5</v>
      </c>
      <c r="H51" s="681">
        <f>MIN(D51,E51)</f>
        <v>30</v>
      </c>
      <c r="I51" s="683">
        <f>H51*B51</f>
        <v>19.5</v>
      </c>
      <c r="J51" s="684">
        <f>IF($G$68&gt;$I$68,G51,I51)</f>
        <v>19.5</v>
      </c>
      <c r="K51" s="672">
        <f>MIN(B47*'Nutrient Inputs'!$G$50*D61/1000,E51)</f>
        <v>29.556799999999999</v>
      </c>
      <c r="L51" s="684">
        <f t="shared" ref="L51:L52" si="7">K51*B51</f>
        <v>19.211919999999999</v>
      </c>
      <c r="M51" s="695"/>
      <c r="N51" s="957">
        <f>IF(N56&gt;0,(N47)*'Nutrient Inputs'!G51/O56,0)</f>
        <v>89.51729740184102</v>
      </c>
      <c r="O51" s="691">
        <f>O47*'Nutrient Inputs'!$G$51*N60/1000</f>
        <v>34.609677173694713</v>
      </c>
      <c r="P51" s="696">
        <f t="shared" ref="P51:P52" si="8">IFERROR(MIN(N51,E51),0)</f>
        <v>30</v>
      </c>
      <c r="Q51" s="692">
        <f t="shared" ref="Q51:Q52" si="9">P51*$B51</f>
        <v>19.5</v>
      </c>
      <c r="R51" s="696">
        <f t="shared" ref="R51:R52" si="10">MIN(E51,O51)</f>
        <v>30</v>
      </c>
      <c r="S51" s="692">
        <f t="shared" ref="S51:S52" si="11">R51*$B51</f>
        <v>19.5</v>
      </c>
      <c r="T51" s="691">
        <f>MIN(O47*'Nutrient Inputs'!$G$51*N61/1000,E51)</f>
        <v>30</v>
      </c>
      <c r="U51" s="692">
        <f>T51*B51</f>
        <v>19.5</v>
      </c>
      <c r="V51" s="909">
        <f>X61*Y47*'Nutrient Inputs'!G52</f>
        <v>168.98400624924685</v>
      </c>
      <c r="W51" s="936"/>
      <c r="X51" s="936">
        <f>MIN(V51,E51)</f>
        <v>30</v>
      </c>
      <c r="Y51" s="937">
        <f>X51*B51</f>
        <v>19.5</v>
      </c>
      <c r="Z51" s="685"/>
      <c r="AA51" s="685"/>
      <c r="AB51" s="685"/>
      <c r="AC51" s="694"/>
      <c r="AD51" s="685"/>
      <c r="AE51" s="685"/>
      <c r="AF51" s="700"/>
      <c r="AG51" s="700"/>
      <c r="AH51" s="708">
        <f>('Nutrient Inputs'!G56*'Nutrient Inputs'!$M$5*'Nutrient Inputs'!$E$28+Switchgrass_Budget!S32*Switchgrass_Key_Inputs!$L$22)/('Nutrient Inputs'!$M$5*'Nutrient Inputs'!$E$28+Switchgrass_Key_Inputs!$L$22)</f>
        <v>29.571428571428573</v>
      </c>
      <c r="AI51" s="713">
        <f>IF($AJ$56&gt;0,(AJ47+AR47*'Nutrient Inputs'!E18)*'Nutrient Inputs'!G51/$AK$56,0)</f>
        <v>81.797860845925825</v>
      </c>
      <c r="AJ51" s="706">
        <f>AI47*'Nutrient Inputs'!$G$51*AJ60/1000</f>
        <v>33.075180254332786</v>
      </c>
      <c r="AK51" s="897">
        <f t="shared" ref="AK51:AK52" si="12">IFERROR(MIN(AI51,AH51),0)</f>
        <v>29.571428571428573</v>
      </c>
      <c r="AL51" s="717">
        <f t="shared" ref="AL51:AL52" si="13">AK51*$B51</f>
        <v>19.221428571428572</v>
      </c>
      <c r="AM51" s="897">
        <f>MIN(E51,AJ51)</f>
        <v>30</v>
      </c>
      <c r="AN51" s="717">
        <f t="shared" si="6"/>
        <v>19.5</v>
      </c>
      <c r="AO51" s="709">
        <f>IF($AL$68&gt;$AN$68,AL51,AN51)</f>
        <v>19.5</v>
      </c>
      <c r="AP51" s="708">
        <f>MIN(AI47*'Nutrient Inputs'!$G$51*AJ61/1000,E51)</f>
        <v>30</v>
      </c>
      <c r="AQ51" s="1045">
        <f>AP51*B51</f>
        <v>19.5</v>
      </c>
      <c r="AR51" s="941">
        <f>IF(AV57&gt;0,AR47*'Nutrient Inputs'!G52*(1-'Nutrient Inputs'!E18)/$AV$57,0)</f>
        <v>50.564368884261924</v>
      </c>
      <c r="AS51" s="939">
        <f t="shared" ref="AS51:AS52" si="14">MIN(AR51,AH51)</f>
        <v>29.571428571428573</v>
      </c>
      <c r="AT51" s="940">
        <f>AS51*B51</f>
        <v>19.221428571428572</v>
      </c>
      <c r="AU51" s="706"/>
      <c r="AV51" s="700"/>
      <c r="AW51" s="700"/>
      <c r="AX51" s="700"/>
      <c r="AY51" s="701"/>
      <c r="AZ51" s="700"/>
    </row>
    <row r="52" spans="1:52" x14ac:dyDescent="0.25">
      <c r="A52" t="s">
        <v>323</v>
      </c>
      <c r="B52" s="678">
        <f>'Nutrient Inputs'!H57</f>
        <v>0.54</v>
      </c>
      <c r="C52" s="672">
        <f>IF(AND($D$56&gt;0,E56&gt;0),D48*'Nutrient Inputs'!H50/$E$56,0)</f>
        <v>306.7036011080333</v>
      </c>
      <c r="D52" s="672">
        <f>B48*'Nutrient Inputs'!$G$50*D60/1000</f>
        <v>65.180533751962329</v>
      </c>
      <c r="E52" s="672">
        <f>('Nutrient Inputs'!H56*'Nutrient Inputs'!$M$5*'Nutrient Inputs'!$E$28)/('Nutrient Inputs'!$M$5*'Nutrient Inputs'!$E$28)</f>
        <v>150</v>
      </c>
      <c r="F52" s="681">
        <f>MIN(E52,C52)</f>
        <v>150</v>
      </c>
      <c r="G52" s="683">
        <f>F52*B52</f>
        <v>81</v>
      </c>
      <c r="H52" s="681">
        <f>MIN(D52,E52)</f>
        <v>65.180533751962329</v>
      </c>
      <c r="I52" s="683">
        <f>H52*B52</f>
        <v>35.197488226059662</v>
      </c>
      <c r="J52" s="684">
        <f>IF($G$68&gt;$I$68,G52,I52)</f>
        <v>35.197488226059662</v>
      </c>
      <c r="K52" s="672">
        <f>MIN(B48*'Nutrient Inputs'!$G$50*D61/1000,E52)</f>
        <v>64.217600000000004</v>
      </c>
      <c r="L52" s="684">
        <f t="shared" si="7"/>
        <v>34.677504000000006</v>
      </c>
      <c r="M52" s="695"/>
      <c r="N52" s="957">
        <f>IF(N56&gt;0,(N48)*'Nutrient Inputs'!H51/O56,0)</f>
        <v>223.94032945423771</v>
      </c>
      <c r="O52" s="691">
        <f>O48*'Nutrient Inputs'!$H$51*N60/1000</f>
        <v>86.581060125063701</v>
      </c>
      <c r="P52" s="696">
        <f t="shared" si="8"/>
        <v>150</v>
      </c>
      <c r="Q52" s="692">
        <f t="shared" si="9"/>
        <v>81</v>
      </c>
      <c r="R52" s="696">
        <f t="shared" si="10"/>
        <v>86.581060125063701</v>
      </c>
      <c r="S52" s="692">
        <f t="shared" si="11"/>
        <v>46.753772467534404</v>
      </c>
      <c r="T52" s="691">
        <f>MIN(O48*'Nutrient Inputs'!H51*N61/1000,E52)</f>
        <v>86.129443580349346</v>
      </c>
      <c r="U52" s="692">
        <f>T52*B52</f>
        <v>46.509899533388648</v>
      </c>
      <c r="V52" s="909">
        <f>IF(Z56&gt;0,W48*'Nutrient Inputs'!H52*(1-'Nutrient Inputs'!E18)/$Z$56,0)</f>
        <v>108.6291854225954</v>
      </c>
      <c r="W52" s="936"/>
      <c r="X52" s="936">
        <f>MIN(V52,E52)</f>
        <v>108.6291854225954</v>
      </c>
      <c r="Y52" s="937">
        <f>X52*B52</f>
        <v>58.659760128201519</v>
      </c>
      <c r="Z52" s="685"/>
      <c r="AA52" s="685"/>
      <c r="AB52" s="685"/>
      <c r="AC52" s="694"/>
      <c r="AD52" s="685"/>
      <c r="AE52" s="685"/>
      <c r="AF52" s="700"/>
      <c r="AG52" s="700"/>
      <c r="AH52" s="708">
        <f>('Nutrient Inputs'!H56*'Nutrient Inputs'!$M$5*'Nutrient Inputs'!$E$28+Switchgrass_Budget!S33*Switchgrass_Key_Inputs!$L$22)/('Nutrient Inputs'!$M$5*'Nutrient Inputs'!$E$28+Switchgrass_Key_Inputs!$L$22)</f>
        <v>137.57142857142858</v>
      </c>
      <c r="AI52" s="713">
        <f>IF($AJ$56&gt;0,(AJ48+AR48*'Nutrient Inputs'!E18)*'Nutrient Inputs'!H51/$AK$56,0)</f>
        <v>184.28779662796799</v>
      </c>
      <c r="AJ52" s="706">
        <f>AI48*'Nutrient Inputs'!$H$51*AJ60/1000</f>
        <v>79.665353829861715</v>
      </c>
      <c r="AK52" s="897">
        <f t="shared" si="12"/>
        <v>137.57142857142858</v>
      </c>
      <c r="AL52" s="717">
        <f t="shared" si="13"/>
        <v>74.288571428571444</v>
      </c>
      <c r="AM52" s="897">
        <f>MIN(E52,AJ52)</f>
        <v>79.665353829861715</v>
      </c>
      <c r="AN52" s="717">
        <f t="shared" si="6"/>
        <v>43.019291068125327</v>
      </c>
      <c r="AO52" s="709">
        <f>IF($AL$68&gt;$AN$68,AL52,AN52)</f>
        <v>43.019291068125327</v>
      </c>
      <c r="AP52" s="708">
        <f>MIN(AI48*'Nutrient Inputs'!$H$51*AJ61/1000,E52)</f>
        <v>80.542216873637486</v>
      </c>
      <c r="AQ52" s="1045">
        <f>AP52*B52</f>
        <v>43.492797111764247</v>
      </c>
      <c r="AR52" s="941">
        <f>IF(AND(Z56&gt;0,AV57&gt;0),AR48*'Nutrient Inputs'!H52*(1-'Nutrient Inputs'!E18)/$AV$57,0)</f>
        <v>32.82149327927776</v>
      </c>
      <c r="AS52" s="939">
        <f t="shared" si="14"/>
        <v>32.82149327927776</v>
      </c>
      <c r="AT52" s="940">
        <f>AS52*B52</f>
        <v>17.723606370809993</v>
      </c>
      <c r="AU52" s="706"/>
      <c r="AV52" s="700"/>
      <c r="AW52" s="700"/>
      <c r="AX52" s="700"/>
      <c r="AY52" s="701"/>
      <c r="AZ52" s="700"/>
    </row>
    <row r="53" spans="1:52" x14ac:dyDescent="0.25">
      <c r="A53" t="s">
        <v>324</v>
      </c>
      <c r="B53" s="680"/>
      <c r="C53" s="678"/>
      <c r="D53" s="667"/>
      <c r="E53" s="667"/>
      <c r="F53" s="677"/>
      <c r="G53" s="683">
        <f>SUM(G50:G52)</f>
        <v>208.3</v>
      </c>
      <c r="H53" s="677"/>
      <c r="I53" s="683">
        <f>SUM(I50:I52)</f>
        <v>83.334507456828888</v>
      </c>
      <c r="J53" s="683">
        <f>SUM(J50:J52)</f>
        <v>83.334507456828888</v>
      </c>
      <c r="K53" s="679"/>
      <c r="L53" s="683">
        <f>SUM(L50:L52)</f>
        <v>82.10337899999999</v>
      </c>
      <c r="M53" s="695"/>
      <c r="N53" s="685"/>
      <c r="O53" s="685"/>
      <c r="P53" s="696"/>
      <c r="Q53" s="692">
        <f>SUM(Q50:Q52)</f>
        <v>208.3</v>
      </c>
      <c r="R53" s="696"/>
      <c r="S53" s="692">
        <f>SUM(S50:S52)</f>
        <v>107.93201016696209</v>
      </c>
      <c r="T53" s="692"/>
      <c r="U53" s="692">
        <f>SUM(U50:U52)</f>
        <v>107.47073885870992</v>
      </c>
      <c r="V53" s="903"/>
      <c r="W53" s="903"/>
      <c r="X53" s="936"/>
      <c r="Y53" s="937">
        <f>SUM(Y50:Y52)</f>
        <v>118.22499729693443</v>
      </c>
      <c r="Z53" s="685"/>
      <c r="AA53" s="685"/>
      <c r="AB53" s="685"/>
      <c r="AC53" s="685"/>
      <c r="AD53" s="685"/>
      <c r="AE53" s="685"/>
      <c r="AF53" s="700"/>
      <c r="AG53" s="700"/>
      <c r="AH53" s="700"/>
      <c r="AI53" s="715"/>
      <c r="AJ53" s="715"/>
      <c r="AK53" s="713"/>
      <c r="AL53" s="709">
        <f>SUM(AL50:AL52)</f>
        <v>191.02500000000003</v>
      </c>
      <c r="AM53" s="713"/>
      <c r="AN53" s="709">
        <f>SUM(AN50:AN52)</f>
        <v>102.80308634643764</v>
      </c>
      <c r="AO53" s="709">
        <f>SUM(AO50:AO52)</f>
        <v>102.80308634643764</v>
      </c>
      <c r="AP53" s="700"/>
      <c r="AQ53" s="709">
        <f>SUM(AQ50:AQ52)</f>
        <v>103.71998929531117</v>
      </c>
      <c r="AR53" s="941"/>
      <c r="AS53" s="939"/>
      <c r="AT53" s="940">
        <f>SUM(AT50:AT52)</f>
        <v>77.010272110971471</v>
      </c>
      <c r="AU53" s="706"/>
      <c r="AV53" s="700"/>
      <c r="AW53" s="700"/>
      <c r="AX53" s="700"/>
      <c r="AY53" s="701"/>
      <c r="AZ53" s="700"/>
    </row>
    <row r="54" spans="1:52" x14ac:dyDescent="0.25">
      <c r="B54" s="680"/>
      <c r="C54" s="678"/>
      <c r="D54" s="771">
        <f>('Nutrient Inputs'!E50*'Nutrient Inputs'!E42+'Nutrient Inputs'!F50*'Nutrient Inputs'!F42)/('Nutrient Inputs'!E42+'Nutrient Inputs'!F42)</f>
        <v>0.36955250073120793</v>
      </c>
      <c r="E54" s="667"/>
      <c r="F54" s="677"/>
      <c r="G54" s="677"/>
      <c r="H54" s="677"/>
      <c r="I54" s="677"/>
      <c r="J54" s="679"/>
      <c r="K54" s="679"/>
      <c r="L54" s="679"/>
      <c r="M54" s="695"/>
      <c r="N54" s="685"/>
      <c r="O54" s="685"/>
      <c r="P54" s="685"/>
      <c r="Q54" s="685"/>
      <c r="R54" s="685"/>
      <c r="S54" s="685"/>
      <c r="T54" s="685"/>
      <c r="U54" s="685"/>
      <c r="V54" s="903"/>
      <c r="W54" s="903"/>
      <c r="X54" s="903"/>
      <c r="Y54" s="910"/>
      <c r="Z54" s="696"/>
      <c r="AA54" s="695"/>
      <c r="AB54" s="694"/>
      <c r="AC54" s="685"/>
      <c r="AD54" s="685"/>
      <c r="AE54" s="685"/>
      <c r="AF54" s="700"/>
      <c r="AG54" s="700"/>
      <c r="AH54" s="700"/>
      <c r="AI54" s="715"/>
      <c r="AJ54" s="715"/>
      <c r="AK54" s="713"/>
      <c r="AL54" s="713"/>
      <c r="AM54" s="713"/>
      <c r="AN54" s="713"/>
      <c r="AO54" s="714"/>
      <c r="AP54" s="700"/>
      <c r="AQ54" s="700"/>
      <c r="AR54" s="917" t="s">
        <v>744</v>
      </c>
      <c r="AS54" s="917"/>
      <c r="AT54" s="918"/>
      <c r="AU54" s="706"/>
      <c r="AV54" s="700"/>
      <c r="AW54" s="700"/>
      <c r="AX54" s="700"/>
      <c r="AY54" s="701"/>
      <c r="AZ54" s="700"/>
    </row>
    <row r="55" spans="1:52" x14ac:dyDescent="0.25">
      <c r="B55" s="680"/>
      <c r="C55" s="678"/>
      <c r="D55" s="771"/>
      <c r="E55" s="667"/>
      <c r="F55" s="677"/>
      <c r="G55" s="677"/>
      <c r="H55" s="677"/>
      <c r="I55" s="677"/>
      <c r="J55" s="679"/>
      <c r="K55" s="679"/>
      <c r="L55" s="679"/>
      <c r="M55" s="695"/>
      <c r="N55" s="685"/>
      <c r="O55" s="685"/>
      <c r="P55" s="685"/>
      <c r="Q55" s="685"/>
      <c r="R55" s="685"/>
      <c r="S55" s="685"/>
      <c r="T55" s="685"/>
      <c r="U55" s="685"/>
      <c r="V55" s="903"/>
      <c r="W55" s="911" t="s">
        <v>667</v>
      </c>
      <c r="X55" s="905">
        <f>IFERROR(E50/('Nutrient Inputs'!D48*'Nutrient Inputs'!D52),0)</f>
        <v>53.812236051919648</v>
      </c>
      <c r="Y55" s="903"/>
      <c r="Z55" s="697">
        <f>N41/N56</f>
        <v>1136.0486291061879</v>
      </c>
      <c r="AA55" s="696" t="s">
        <v>794</v>
      </c>
      <c r="AB55" s="695"/>
      <c r="AC55" s="685"/>
      <c r="AD55" s="685"/>
      <c r="AE55" s="685"/>
      <c r="AF55" s="700"/>
      <c r="AG55" s="700"/>
      <c r="AH55" s="700"/>
      <c r="AI55" s="715"/>
      <c r="AJ55" s="715"/>
      <c r="AK55" s="713"/>
      <c r="AL55" s="713"/>
      <c r="AM55" s="713"/>
      <c r="AN55" s="713"/>
      <c r="AO55" s="714"/>
      <c r="AP55" s="700"/>
      <c r="AQ55" s="700"/>
      <c r="AR55" s="917"/>
      <c r="AS55" s="917"/>
      <c r="AT55" s="918"/>
      <c r="AU55" s="706"/>
      <c r="AV55" s="700"/>
      <c r="AW55" s="700"/>
      <c r="AX55" s="700"/>
      <c r="AY55" s="701"/>
      <c r="AZ55" s="700"/>
    </row>
    <row r="56" spans="1:52" x14ac:dyDescent="0.25">
      <c r="A56" t="s">
        <v>765</v>
      </c>
      <c r="B56" s="680"/>
      <c r="C56" s="678"/>
      <c r="D56" s="895">
        <f>E50*1000/(('Nutrient Inputs'!E50*'Nutrient Inputs'!E42+'Nutrient Inputs'!F50*'Nutrient Inputs'!F42))</f>
        <v>11080.332409972301</v>
      </c>
      <c r="E56" s="672">
        <f>$B$41/D56</f>
        <v>722</v>
      </c>
      <c r="F56" s="677" t="s">
        <v>446</v>
      </c>
      <c r="G56" s="677"/>
      <c r="H56" s="677"/>
      <c r="I56" s="677"/>
      <c r="J56" s="679"/>
      <c r="K56" s="679"/>
      <c r="L56" s="679"/>
      <c r="M56" s="695"/>
      <c r="N56" s="689">
        <f>N50*1000/(('Nutrient Inputs'!E51*'Nutrient Inputs'!E47+'Nutrient Inputs'!F51*'Nutrient Inputs'!F47))</f>
        <v>10140.170986438232</v>
      </c>
      <c r="O56" s="689">
        <f>$N$41/N56</f>
        <v>1136.0486291061879</v>
      </c>
      <c r="P56" s="685" t="s">
        <v>446</v>
      </c>
      <c r="Q56" s="685"/>
      <c r="R56" s="685"/>
      <c r="S56" s="685"/>
      <c r="T56" s="685"/>
      <c r="U56" s="685"/>
      <c r="V56" s="903"/>
      <c r="W56" s="911" t="s">
        <v>771</v>
      </c>
      <c r="X56" s="912">
        <f>IFERROR(E51/('Nutrient Inputs'!G48*'Nutrient Inputs'!G52),0)</f>
        <v>3.5506318811912658</v>
      </c>
      <c r="Y56" s="910"/>
      <c r="Z56" s="697">
        <f>X40*(1-'Nutrient Inputs'!E18)/X61</f>
        <v>61.630985915492978</v>
      </c>
      <c r="AA56" s="696" t="s">
        <v>757</v>
      </c>
      <c r="AB56" s="695"/>
      <c r="AC56" s="685"/>
      <c r="AD56" s="685"/>
      <c r="AE56" s="685"/>
      <c r="AF56" s="700"/>
      <c r="AG56" s="700"/>
      <c r="AH56" s="700"/>
      <c r="AI56" s="715"/>
      <c r="AJ56" s="897">
        <f>AH50*1000/(('Nutrient Inputs'!E51*'Nutrient Inputs'!E47+'Nutrient Inputs'!F51*'Nutrient Inputs'!F47))*N44/AJ44</f>
        <v>8473.1406484769668</v>
      </c>
      <c r="AK56" s="713">
        <f>$AF$41/AJ56</f>
        <v>1459.9027311325217</v>
      </c>
      <c r="AL56" s="714" t="s">
        <v>446</v>
      </c>
      <c r="AM56" s="713"/>
      <c r="AN56" s="713"/>
      <c r="AO56" s="713"/>
      <c r="AP56" s="700"/>
      <c r="AQ56" s="700"/>
      <c r="AR56" s="919" t="s">
        <v>667</v>
      </c>
      <c r="AS56" s="917"/>
      <c r="AT56" s="920">
        <f>IF('Nutrient Inputs'!D48&gt;0,E50/('Nutrient Inputs'!D48*'Nutrient Inputs'!D52),0)</f>
        <v>53.812236051919648</v>
      </c>
      <c r="AU56" s="706"/>
      <c r="AV56" s="715">
        <f>AF41/AJ56</f>
        <v>1459.9027311325217</v>
      </c>
      <c r="AW56" s="705" t="str">
        <f>AA55</f>
        <v>Acres required to apply digestate liquid, N-based</v>
      </c>
      <c r="AX56" s="714"/>
      <c r="AY56" s="701"/>
      <c r="AZ56" s="700"/>
    </row>
    <row r="57" spans="1:52" x14ac:dyDescent="0.25">
      <c r="A57" t="s">
        <v>764</v>
      </c>
      <c r="B57" s="680"/>
      <c r="C57" s="678"/>
      <c r="D57" s="895">
        <f>E51*1000/(('Nutrient Inputs'!G50*'Nutrient Inputs'!G42))</f>
        <v>2943.4850863422294</v>
      </c>
      <c r="E57" s="672">
        <f>$B$41/D57</f>
        <v>2717.8666666666668</v>
      </c>
      <c r="F57" s="677" t="s">
        <v>446</v>
      </c>
      <c r="G57" s="677"/>
      <c r="H57" s="677"/>
      <c r="I57" s="677"/>
      <c r="J57" s="679"/>
      <c r="K57" s="679"/>
      <c r="L57" s="679"/>
      <c r="M57" s="695"/>
      <c r="N57" s="689">
        <f>E51*1000/(('Nutrient Inputs'!G51*'Nutrient Inputs'!G47))</f>
        <v>3398.2832192484252</v>
      </c>
      <c r="O57" s="689">
        <f>$N$41/N57</f>
        <v>3389.8667664884133</v>
      </c>
      <c r="P57" s="685" t="s">
        <v>446</v>
      </c>
      <c r="Q57" s="685"/>
      <c r="R57" s="685"/>
      <c r="S57" s="685"/>
      <c r="T57" s="685"/>
      <c r="U57" s="685"/>
      <c r="V57" s="903"/>
      <c r="W57" s="903"/>
      <c r="X57" s="903"/>
      <c r="Y57" s="903"/>
      <c r="Z57" s="697">
        <f>Z55+Z56</f>
        <v>1197.679615021681</v>
      </c>
      <c r="AA57" s="696" t="s">
        <v>756</v>
      </c>
      <c r="AB57" s="695"/>
      <c r="AC57" s="685"/>
      <c r="AD57" s="685"/>
      <c r="AE57" s="685"/>
      <c r="AF57" s="700"/>
      <c r="AG57" s="700"/>
      <c r="AH57" s="700"/>
      <c r="AI57" s="715"/>
      <c r="AJ57" s="897">
        <f>E51*1000/(('Nutrient Inputs'!G51*'Nutrient Inputs'!G47))*N47/AJ47</f>
        <v>3174.8441101823005</v>
      </c>
      <c r="AK57" s="713">
        <f t="shared" ref="AK57" si="15">$AF$41/AJ57</f>
        <v>3896.2420656525474</v>
      </c>
      <c r="AL57" s="714" t="s">
        <v>446</v>
      </c>
      <c r="AM57" s="713"/>
      <c r="AN57" s="713"/>
      <c r="AO57" s="713"/>
      <c r="AP57" s="700"/>
      <c r="AQ57" s="700"/>
      <c r="AR57" s="917" t="s">
        <v>771</v>
      </c>
      <c r="AS57" s="917"/>
      <c r="AT57" s="920">
        <f>IF('Nutrient Inputs'!G48&gt;0,E51/('Nutrient Inputs'!G48*'Nutrient Inputs'!G52),0)</f>
        <v>3.5506318811912658</v>
      </c>
      <c r="AU57" s="706"/>
      <c r="AV57" s="715">
        <f>AR40/'Nutrient Inputs'!E72</f>
        <v>208.91704223188503</v>
      </c>
      <c r="AW57" s="705" t="str">
        <f t="shared" ref="AW57:AW58" si="16">AA56</f>
        <v>Acres required to apply bedding</v>
      </c>
      <c r="AX57" s="714"/>
      <c r="AY57" s="701"/>
      <c r="AZ57" s="700"/>
    </row>
    <row r="58" spans="1:52" x14ac:dyDescent="0.25">
      <c r="A58" t="s">
        <v>766</v>
      </c>
      <c r="B58" s="680"/>
      <c r="C58" s="678"/>
      <c r="D58" s="895">
        <f>B41/E58</f>
        <v>2666.666666666667</v>
      </c>
      <c r="E58" s="672">
        <f>'Nutrient Inputs'!M5*'Nutrient Inputs'!E28</f>
        <v>3000</v>
      </c>
      <c r="F58" s="677" t="s">
        <v>446</v>
      </c>
      <c r="G58" s="677"/>
      <c r="H58" s="677"/>
      <c r="I58" s="677"/>
      <c r="J58" s="679"/>
      <c r="K58" s="679"/>
      <c r="L58" s="679"/>
      <c r="M58" s="695"/>
      <c r="N58" s="689">
        <f>N41/O58</f>
        <v>3920.4495054324002</v>
      </c>
      <c r="O58" s="689">
        <f>E58-Z56</f>
        <v>2938.3690140845069</v>
      </c>
      <c r="P58" s="685" t="s">
        <v>446</v>
      </c>
      <c r="Q58" s="685"/>
      <c r="R58" s="685"/>
      <c r="S58" s="685"/>
      <c r="T58" s="685"/>
      <c r="U58" s="685"/>
      <c r="V58" s="903"/>
      <c r="W58" s="903"/>
      <c r="X58" s="903"/>
      <c r="Y58" s="903"/>
      <c r="Z58" s="697">
        <f>'Key inputs &amp; Outputs'!$F$11*'Nutrient Inputs'!$M$5+Switchgrass_Key_Inputs!$L$22</f>
        <v>3500</v>
      </c>
      <c r="AA58" s="696" t="s">
        <v>710</v>
      </c>
      <c r="AB58" s="695"/>
      <c r="AC58" s="685"/>
      <c r="AD58" s="685"/>
      <c r="AE58" s="685"/>
      <c r="AF58" s="700"/>
      <c r="AG58" s="700"/>
      <c r="AH58" s="700"/>
      <c r="AI58" s="715"/>
      <c r="AJ58" s="897">
        <f>AF41/AK58</f>
        <v>3758.6294033652489</v>
      </c>
      <c r="AK58" s="713">
        <f>E58+Switchgrass_Key_Inputs!L22-AV57</f>
        <v>3291.0829577681152</v>
      </c>
      <c r="AL58" s="714" t="s">
        <v>446</v>
      </c>
      <c r="AM58" s="713"/>
      <c r="AN58" s="713"/>
      <c r="AO58" s="713"/>
      <c r="AP58" s="700"/>
      <c r="AQ58" s="700"/>
      <c r="AR58" s="917"/>
      <c r="AS58" s="917"/>
      <c r="AT58" s="917"/>
      <c r="AU58" s="700"/>
      <c r="AV58" s="715">
        <f>AV56+AV57</f>
        <v>1668.8197733644067</v>
      </c>
      <c r="AW58" s="705" t="str">
        <f t="shared" si="16"/>
        <v>Total acres required</v>
      </c>
      <c r="AX58" s="714"/>
      <c r="AY58" s="701"/>
      <c r="AZ58" s="700"/>
    </row>
    <row r="59" spans="1:52" x14ac:dyDescent="0.25">
      <c r="A59" t="s">
        <v>819</v>
      </c>
      <c r="B59" s="680"/>
      <c r="C59" s="678"/>
      <c r="D59" s="895">
        <f>MIN(D56:D57)</f>
        <v>2943.4850863422294</v>
      </c>
      <c r="E59" s="672">
        <f>B41/D59</f>
        <v>2717.8666666666668</v>
      </c>
      <c r="F59" s="677" t="s">
        <v>446</v>
      </c>
      <c r="G59" s="677"/>
      <c r="H59" s="677"/>
      <c r="I59" s="677"/>
      <c r="J59" s="679"/>
      <c r="K59" s="679"/>
      <c r="L59" s="679"/>
      <c r="M59" s="695"/>
      <c r="N59" s="689">
        <f>MIN(N56:N57)</f>
        <v>3398.2832192484252</v>
      </c>
      <c r="O59" s="689">
        <f>N41/N59</f>
        <v>3389.8667664884133</v>
      </c>
      <c r="P59" s="685" t="s">
        <v>446</v>
      </c>
      <c r="Q59" s="685"/>
      <c r="R59" s="685"/>
      <c r="S59" s="685"/>
      <c r="T59" s="685"/>
      <c r="U59" s="685"/>
      <c r="V59" s="903"/>
      <c r="W59" s="903"/>
      <c r="X59" s="903"/>
      <c r="Y59" s="903"/>
      <c r="Z59" s="697"/>
      <c r="AA59" s="696"/>
      <c r="AB59" s="695"/>
      <c r="AC59" s="685"/>
      <c r="AD59" s="685"/>
      <c r="AE59" s="685"/>
      <c r="AF59" s="700"/>
      <c r="AG59" s="700"/>
      <c r="AH59" s="700"/>
      <c r="AI59" s="715"/>
      <c r="AJ59" s="897">
        <f>MIN(AJ56:AJ57)</f>
        <v>3174.8441101823005</v>
      </c>
      <c r="AK59" s="713">
        <f>AF41/AJ59</f>
        <v>3896.2420656525474</v>
      </c>
      <c r="AL59" s="714" t="s">
        <v>446</v>
      </c>
      <c r="AM59" s="713"/>
      <c r="AN59" s="713"/>
      <c r="AO59" s="713"/>
      <c r="AP59" s="700"/>
      <c r="AQ59" s="700"/>
      <c r="AR59" s="917"/>
      <c r="AS59" s="917"/>
      <c r="AT59" s="917"/>
      <c r="AU59" s="700"/>
      <c r="AV59" s="715"/>
      <c r="AW59" s="705"/>
      <c r="AX59" s="714"/>
      <c r="AY59" s="701"/>
      <c r="AZ59" s="700"/>
    </row>
    <row r="60" spans="1:52" x14ac:dyDescent="0.25">
      <c r="A60" t="s">
        <v>839</v>
      </c>
      <c r="B60" s="680"/>
      <c r="C60" s="678"/>
      <c r="D60" s="895">
        <f>IF(D56&lt;D58,D56,IF(D58&gt;D59,D58,D59))</f>
        <v>2943.4850863422294</v>
      </c>
      <c r="E60" s="672">
        <f>$B$41/D60</f>
        <v>2717.8666666666668</v>
      </c>
      <c r="F60" s="677" t="s">
        <v>446</v>
      </c>
      <c r="G60" s="677"/>
      <c r="H60" s="677"/>
      <c r="I60" s="677"/>
      <c r="J60" s="679"/>
      <c r="K60" s="679"/>
      <c r="L60" s="679"/>
      <c r="M60" s="695"/>
      <c r="N60" s="689">
        <f>IF(N56&lt;N58,N56,IF(N58&gt;N59,N58,N59))</f>
        <v>3920.4495054324002</v>
      </c>
      <c r="O60" s="689">
        <f>$N$41/N60</f>
        <v>2938.3690140845069</v>
      </c>
      <c r="P60" s="685" t="s">
        <v>446</v>
      </c>
      <c r="Q60" s="685"/>
      <c r="R60" s="685"/>
      <c r="S60" s="685"/>
      <c r="T60" s="685"/>
      <c r="U60" s="685"/>
      <c r="V60" s="903"/>
      <c r="W60" s="903"/>
      <c r="X60" s="903"/>
      <c r="Y60" s="903"/>
      <c r="Z60" s="697"/>
      <c r="AA60" s="696"/>
      <c r="AB60" s="695"/>
      <c r="AC60" s="685"/>
      <c r="AD60" s="685"/>
      <c r="AE60" s="685"/>
      <c r="AF60" s="700"/>
      <c r="AG60" s="700"/>
      <c r="AH60" s="700"/>
      <c r="AI60" s="715"/>
      <c r="AJ60" s="897">
        <f>IF(AJ56&lt;AJ58,AJ56,IF(AJ58&gt;AJ59,AJ58,AJ59))</f>
        <v>3758.6294033652489</v>
      </c>
      <c r="AK60" s="713">
        <f t="shared" ref="AK60" si="17">$AF$41/AJ60</f>
        <v>3291.0829577681152</v>
      </c>
      <c r="AL60" s="714" t="s">
        <v>446</v>
      </c>
      <c r="AM60" s="713"/>
      <c r="AN60" s="713"/>
      <c r="AO60" s="713"/>
      <c r="AP60" s="700"/>
      <c r="AQ60" s="700"/>
      <c r="AR60" s="917"/>
      <c r="AS60" s="917"/>
      <c r="AT60" s="917"/>
      <c r="AU60" s="700"/>
      <c r="AV60" s="715"/>
      <c r="AW60" s="705"/>
      <c r="AX60" s="714"/>
      <c r="AY60" s="701"/>
      <c r="AZ60" s="700"/>
    </row>
    <row r="61" spans="1:52" x14ac:dyDescent="0.25">
      <c r="A61" t="s">
        <v>840</v>
      </c>
      <c r="B61" s="680"/>
      <c r="C61" s="667"/>
      <c r="D61" s="1044">
        <f>'Nutrient Inputs'!D67</f>
        <v>2900</v>
      </c>
      <c r="E61" s="672">
        <f>$B$41/'Nutrient Inputs'!D67</f>
        <v>2758.6206896551726</v>
      </c>
      <c r="F61" s="677" t="s">
        <v>446</v>
      </c>
      <c r="G61" s="677"/>
      <c r="H61" s="677"/>
      <c r="I61" s="677"/>
      <c r="J61" s="667"/>
      <c r="K61" s="667"/>
      <c r="L61" s="667"/>
      <c r="N61" s="1046">
        <f>ROUND(N60,-2)</f>
        <v>3900</v>
      </c>
      <c r="O61" s="689">
        <f>$N$41/N61</f>
        <v>2953.7762430885882</v>
      </c>
      <c r="P61" s="685" t="s">
        <v>446</v>
      </c>
      <c r="Q61" s="685"/>
      <c r="R61" s="685"/>
      <c r="S61" s="685"/>
      <c r="T61" s="694"/>
      <c r="U61" s="694"/>
      <c r="V61" s="908"/>
      <c r="W61" s="913" t="s">
        <v>775</v>
      </c>
      <c r="X61" s="896">
        <v>20</v>
      </c>
      <c r="Y61" s="903"/>
      <c r="Z61" s="697">
        <f>X40*(1-'Nutrient Inputs'!E18)/X61</f>
        <v>61.630985915492978</v>
      </c>
      <c r="AA61" s="696" t="s">
        <v>432</v>
      </c>
      <c r="AB61" s="695"/>
      <c r="AC61" s="685"/>
      <c r="AD61" s="685"/>
      <c r="AE61" s="685"/>
      <c r="AF61" s="700"/>
      <c r="AG61" s="700"/>
      <c r="AH61" s="700"/>
      <c r="AI61" s="715"/>
      <c r="AJ61" s="252">
        <f>'Nutrient Inputs'!E67</f>
        <v>3800</v>
      </c>
      <c r="AK61" s="713">
        <f>$AF$41/AJ61</f>
        <v>3255.25294052145</v>
      </c>
      <c r="AL61" s="714" t="s">
        <v>446</v>
      </c>
      <c r="AM61" s="713"/>
      <c r="AN61" s="713"/>
      <c r="AO61" s="713"/>
      <c r="AP61" s="701"/>
      <c r="AQ61" s="701"/>
      <c r="AR61" s="921" t="s">
        <v>775</v>
      </c>
      <c r="AS61" s="917"/>
      <c r="AT61" s="417">
        <f>'Nutrient Inputs'!E72</f>
        <v>20</v>
      </c>
      <c r="AU61" s="715"/>
      <c r="AV61" s="715">
        <f>'Key inputs &amp; Outputs'!$F$11*'Nutrient Inputs'!$M$5+Switchgrass_Key_Inputs!$L$22</f>
        <v>3500</v>
      </c>
      <c r="AW61" s="713" t="str">
        <f>AA58</f>
        <v>Acres available/year (acres/crop x crops/year)</v>
      </c>
      <c r="AX61" s="714"/>
      <c r="AY61" s="701"/>
      <c r="AZ61" s="700"/>
    </row>
    <row r="62" spans="1:52" x14ac:dyDescent="0.25">
      <c r="A62" s="685" t="s">
        <v>326</v>
      </c>
      <c r="B62" s="680" t="s">
        <v>825</v>
      </c>
      <c r="C62" s="667" t="s">
        <v>826</v>
      </c>
      <c r="D62" s="671"/>
      <c r="E62" s="667"/>
      <c r="F62" s="667"/>
      <c r="G62" s="667"/>
      <c r="H62" s="667"/>
      <c r="I62" s="667"/>
      <c r="J62" s="667"/>
      <c r="K62" s="667"/>
      <c r="L62" s="667"/>
      <c r="N62" s="798"/>
      <c r="O62" s="697"/>
      <c r="P62" s="697"/>
      <c r="Q62" s="697"/>
      <c r="R62" s="697"/>
      <c r="S62" s="697"/>
      <c r="T62" s="685"/>
      <c r="U62" s="685"/>
      <c r="V62" s="903"/>
      <c r="W62" s="903"/>
      <c r="X62" s="903" t="s">
        <v>770</v>
      </c>
      <c r="Y62" s="903"/>
      <c r="Z62" s="685"/>
      <c r="AA62" s="685"/>
      <c r="AB62" s="685"/>
      <c r="AC62" s="685"/>
      <c r="AD62" s="685"/>
      <c r="AE62" s="685"/>
      <c r="AF62" s="700"/>
      <c r="AG62" s="700"/>
      <c r="AH62" s="700"/>
      <c r="AI62" s="715"/>
      <c r="AJ62" s="715"/>
      <c r="AK62" s="715"/>
      <c r="AL62" s="715"/>
      <c r="AM62" s="715"/>
      <c r="AN62" s="715"/>
      <c r="AO62" s="715"/>
      <c r="AP62" s="700"/>
      <c r="AQ62" s="700"/>
      <c r="AR62" s="917" t="s">
        <v>908</v>
      </c>
      <c r="AS62" s="917"/>
      <c r="AT62" s="939">
        <f>AT61*AV57</f>
        <v>4178.3408446377007</v>
      </c>
      <c r="AU62" s="700"/>
      <c r="AV62" s="715">
        <f>AR40/'Nutrient Inputs'!E72</f>
        <v>208.91704223188503</v>
      </c>
      <c r="AW62" s="713" t="s">
        <v>868</v>
      </c>
      <c r="AX62" s="714"/>
      <c r="AY62" s="701"/>
      <c r="AZ62" s="700"/>
    </row>
    <row r="63" spans="1:52" x14ac:dyDescent="0.25">
      <c r="A63" t="s">
        <v>689</v>
      </c>
      <c r="B63" s="684">
        <f>'Nutrient Inputs'!E32</f>
        <v>30</v>
      </c>
      <c r="C63" s="679">
        <f>'Nutrient Inputs'!E33</f>
        <v>8</v>
      </c>
      <c r="D63" s="667"/>
      <c r="E63" s="667"/>
      <c r="F63" s="667"/>
      <c r="G63" s="682">
        <f>-$C$63*D56/1000-B63</f>
        <v>-118.64265927977841</v>
      </c>
      <c r="H63" s="667"/>
      <c r="I63" s="682">
        <f>-$C$63*D60/1000-B63</f>
        <v>-53.547880690737834</v>
      </c>
      <c r="J63" s="667"/>
      <c r="K63" s="667"/>
      <c r="L63" s="682">
        <f>-$C$63*D61/1000-B63</f>
        <v>-53.2</v>
      </c>
      <c r="N63" s="685"/>
      <c r="O63" s="697"/>
      <c r="P63" s="697"/>
      <c r="Q63" s="698">
        <f>-$C$63*N56/1000-B63</f>
        <v>-111.12136789150586</v>
      </c>
      <c r="R63" s="698"/>
      <c r="S63" s="698">
        <f>-$C$63*N60/1000-B63</f>
        <v>-61.363596043459196</v>
      </c>
      <c r="T63" s="685"/>
      <c r="U63" s="698">
        <f>-$C$63*N61/1000-B63</f>
        <v>-61.2</v>
      </c>
      <c r="V63" s="908">
        <f>(Q63-I63)/I63</f>
        <v>1.0751776999967526</v>
      </c>
      <c r="W63" s="903"/>
      <c r="X63" s="914">
        <f>'Nutrient Inputs'!E36</f>
        <v>6</v>
      </c>
      <c r="Y63" s="915">
        <f>IF(Z56&gt;0,-X40*$X63*(1-'Nutrient Inputs'!E18)/Z56,0)</f>
        <v>-120</v>
      </c>
      <c r="Z63" s="685"/>
      <c r="AA63" s="685"/>
      <c r="AB63" s="685"/>
      <c r="AC63" s="685"/>
      <c r="AD63" s="685"/>
      <c r="AE63" s="685"/>
      <c r="AF63" s="700"/>
      <c r="AG63" s="700"/>
      <c r="AH63" s="700"/>
      <c r="AI63" s="700"/>
      <c r="AJ63" s="700"/>
      <c r="AK63" s="715"/>
      <c r="AL63" s="717">
        <f>-$C$63*AJ56/1000-B63</f>
        <v>-97.785125187815737</v>
      </c>
      <c r="AM63" s="717"/>
      <c r="AN63" s="717">
        <f>-$C$63*AJ60/1000-B63</f>
        <v>-60.06903522692199</v>
      </c>
      <c r="AO63" s="716">
        <f>-$C$63*AJ60/1000-B63</f>
        <v>-60.06903522692199</v>
      </c>
      <c r="AP63" s="700"/>
      <c r="AQ63" s="716">
        <f>-$C$63*AJ61/1000-B63</f>
        <v>-60.4</v>
      </c>
      <c r="AR63" s="917"/>
      <c r="AS63" s="917"/>
      <c r="AT63" s="917"/>
      <c r="AU63" s="700"/>
      <c r="AV63" s="717">
        <f>IF(AV57&gt;0,-AR40*$X63*(1-'Nutrient Inputs'!E18)/AV57,0)</f>
        <v>-60.000000000000007</v>
      </c>
      <c r="AW63" s="700"/>
      <c r="AX63" s="700"/>
      <c r="AY63" s="701"/>
      <c r="AZ63" s="700"/>
    </row>
    <row r="64" spans="1:52" x14ac:dyDescent="0.25">
      <c r="A64" t="s">
        <v>327</v>
      </c>
      <c r="B64" s="680"/>
      <c r="C64" s="679"/>
      <c r="D64" s="667"/>
      <c r="E64" s="667"/>
      <c r="F64" s="667"/>
      <c r="G64" s="682">
        <f>G53+G63</f>
        <v>89.657340720221598</v>
      </c>
      <c r="H64" s="667"/>
      <c r="I64" s="682">
        <f>I53+I63</f>
        <v>29.786626766091054</v>
      </c>
      <c r="J64" s="667"/>
      <c r="K64" s="667"/>
      <c r="L64" s="682">
        <f>L53+L63</f>
        <v>28.903378999999987</v>
      </c>
      <c r="N64" s="685"/>
      <c r="O64" s="697"/>
      <c r="P64" s="697"/>
      <c r="Q64" s="698">
        <f>Q53+Q63</f>
        <v>97.178632108494156</v>
      </c>
      <c r="R64" s="698"/>
      <c r="S64" s="698">
        <f>S53+S63</f>
        <v>46.56841412350289</v>
      </c>
      <c r="T64" s="685"/>
      <c r="U64" s="698">
        <f>U53+U63</f>
        <v>46.270738858709919</v>
      </c>
      <c r="V64" s="908"/>
      <c r="W64" s="903"/>
      <c r="X64" s="903"/>
      <c r="Y64" s="915">
        <f>Y53+Y63</f>
        <v>-1.7750027030655673</v>
      </c>
      <c r="Z64" s="685"/>
      <c r="AA64" s="685"/>
      <c r="AB64" s="798"/>
      <c r="AC64" s="697"/>
      <c r="AD64" s="685"/>
      <c r="AE64" s="685"/>
      <c r="AF64" s="700"/>
      <c r="AG64" s="700"/>
      <c r="AH64" s="700"/>
      <c r="AI64" s="700"/>
      <c r="AJ64" s="700"/>
      <c r="AK64" s="715"/>
      <c r="AL64" s="717">
        <f>AL53+AL63</f>
        <v>93.239874812184297</v>
      </c>
      <c r="AM64" s="717"/>
      <c r="AN64" s="717">
        <f>AN53+AN63</f>
        <v>42.734051119515648</v>
      </c>
      <c r="AO64" s="716">
        <f>AO53+AO63</f>
        <v>42.734051119515648</v>
      </c>
      <c r="AP64" s="700"/>
      <c r="AQ64" s="716">
        <f>AQ53+AQ63</f>
        <v>43.319989295311167</v>
      </c>
      <c r="AR64" s="917"/>
      <c r="AS64" s="917"/>
      <c r="AT64" s="917"/>
      <c r="AU64" s="715"/>
      <c r="AV64" s="717">
        <f>AT53+AV63</f>
        <v>17.010272110971464</v>
      </c>
      <c r="AW64" s="700"/>
      <c r="AX64" s="700"/>
      <c r="AY64" s="701"/>
      <c r="AZ64" s="700"/>
    </row>
    <row r="65" spans="1:52" ht="45" x14ac:dyDescent="0.25">
      <c r="A65" t="s">
        <v>328</v>
      </c>
      <c r="B65" s="680"/>
      <c r="C65" s="667"/>
      <c r="D65" s="672"/>
      <c r="E65" s="683"/>
      <c r="F65" s="683"/>
      <c r="G65" s="683"/>
      <c r="H65" s="683"/>
      <c r="I65" s="683"/>
      <c r="J65" s="683"/>
      <c r="K65" s="683"/>
      <c r="L65" s="683"/>
      <c r="N65" s="685"/>
      <c r="O65" s="685"/>
      <c r="P65" s="685"/>
      <c r="Q65" s="685" t="s">
        <v>795</v>
      </c>
      <c r="R65" s="685"/>
      <c r="S65" s="685"/>
      <c r="T65" s="902"/>
      <c r="U65" s="902"/>
      <c r="V65" s="903"/>
      <c r="W65" s="903"/>
      <c r="X65" s="934"/>
      <c r="Y65" s="934" t="s">
        <v>867</v>
      </c>
      <c r="Z65" s="685"/>
      <c r="AA65" s="899" t="s">
        <v>796</v>
      </c>
      <c r="AB65" s="685" t="s">
        <v>797</v>
      </c>
      <c r="AC65" s="685"/>
      <c r="AD65" s="685"/>
      <c r="AE65" s="685"/>
      <c r="AF65" s="700"/>
      <c r="AG65" s="700"/>
      <c r="AH65" s="700"/>
      <c r="AI65" s="700"/>
      <c r="AJ65" s="700"/>
      <c r="AK65" s="700"/>
      <c r="AL65" s="700"/>
      <c r="AM65" s="700"/>
      <c r="AN65" s="700"/>
      <c r="AO65" s="700" t="s">
        <v>795</v>
      </c>
      <c r="AP65" s="942"/>
      <c r="AQ65" s="942"/>
      <c r="AR65" s="942" t="s">
        <v>867</v>
      </c>
      <c r="AS65" s="710" t="s">
        <v>796</v>
      </c>
      <c r="AT65" s="710" t="s">
        <v>836</v>
      </c>
      <c r="AU65" s="715"/>
      <c r="AV65" s="700" t="s">
        <v>781</v>
      </c>
      <c r="AW65" s="700"/>
      <c r="AX65" s="700"/>
      <c r="AY65" s="843"/>
      <c r="AZ65" s="700"/>
    </row>
    <row r="66" spans="1:52" x14ac:dyDescent="0.25">
      <c r="A66" t="s">
        <v>317</v>
      </c>
      <c r="B66" s="680"/>
      <c r="C66" s="667"/>
      <c r="D66" s="667"/>
      <c r="E66" s="683"/>
      <c r="F66" s="683"/>
      <c r="G66" s="684">
        <f>G53*MIN(E56,'Key inputs &amp; Outputs'!$F$11*'Nutrient Inputs'!$M$5)</f>
        <v>150392.6</v>
      </c>
      <c r="H66" s="683"/>
      <c r="I66" s="684">
        <f>I53*MIN(E57,E60)</f>
        <v>226492.08000000002</v>
      </c>
      <c r="J66" s="684">
        <f>J53*$E$60</f>
        <v>226492.08000000002</v>
      </c>
      <c r="K66" s="684"/>
      <c r="L66" s="684">
        <f>L53*E61</f>
        <v>226492.08</v>
      </c>
      <c r="M66" s="692"/>
      <c r="N66" s="685"/>
      <c r="O66" s="699"/>
      <c r="P66" s="699"/>
      <c r="Q66" s="699">
        <f>Q53*MIN(O56,O58)</f>
        <v>236638.92944281898</v>
      </c>
      <c r="R66" s="699"/>
      <c r="S66" s="699">
        <f>S53*MIN(O60,O57)</f>
        <v>317144.07430245535</v>
      </c>
      <c r="T66" s="692">
        <f>IF($Q$68&gt;$S$68,Q66,S66)</f>
        <v>317144.07430245535</v>
      </c>
      <c r="U66" s="692">
        <f>U53*O61</f>
        <v>317444.51526803494</v>
      </c>
      <c r="V66" s="908">
        <f>(Q66-L66)/L66</f>
        <v>4.4800018803390337E-2</v>
      </c>
      <c r="W66" s="903"/>
      <c r="X66" s="915"/>
      <c r="Y66" s="915">
        <f>Y53*Z61</f>
        <v>7286.3231432665616</v>
      </c>
      <c r="Z66" s="691"/>
      <c r="AA66" s="692">
        <f>U66+Y66</f>
        <v>324730.83841130149</v>
      </c>
      <c r="AB66" s="692">
        <f>IFERROR(AA66-L66,0)</f>
        <v>98238.758411301504</v>
      </c>
      <c r="AC66" s="685"/>
      <c r="AD66" s="685"/>
      <c r="AE66" s="685"/>
      <c r="AF66" s="709"/>
      <c r="AG66" s="700"/>
      <c r="AH66" s="709"/>
      <c r="AI66" s="700"/>
      <c r="AJ66" s="700"/>
      <c r="AK66" s="700"/>
      <c r="AL66" s="717">
        <f>AL53*MIN(AK56,AK58)</f>
        <v>278877.91921458999</v>
      </c>
      <c r="AM66" s="717"/>
      <c r="AN66" s="717">
        <f>AN53*MIN(AK60,AK57)</f>
        <v>338333.48548072489</v>
      </c>
      <c r="AO66" s="709">
        <f>IF($AL$68&gt;$AN$68,AL66,AN66)</f>
        <v>338333.48548072489</v>
      </c>
      <c r="AP66" s="717"/>
      <c r="AQ66" s="717">
        <f>AQ53*AK61</f>
        <v>337634.800144415</v>
      </c>
      <c r="AR66" s="717">
        <f>AT53*$AV$62</f>
        <v>16088.758270896786</v>
      </c>
      <c r="AS66" s="709">
        <f>AQ66+AR66</f>
        <v>353723.5584153118</v>
      </c>
      <c r="AT66" s="709">
        <f>AS66-L66</f>
        <v>127231.47841531181</v>
      </c>
      <c r="AU66" s="700"/>
      <c r="AV66" s="709">
        <f>AS66-AA66</f>
        <v>28992.720004010305</v>
      </c>
      <c r="AW66" s="709"/>
      <c r="AX66" s="700"/>
      <c r="AY66" s="709"/>
      <c r="AZ66" s="700"/>
    </row>
    <row r="67" spans="1:52" x14ac:dyDescent="0.25">
      <c r="A67" t="s">
        <v>329</v>
      </c>
      <c r="B67" s="680"/>
      <c r="C67" s="667"/>
      <c r="D67" s="667"/>
      <c r="E67" s="683"/>
      <c r="F67" s="683"/>
      <c r="G67" s="684">
        <f>G63*MIN(E56,'Key inputs &amp; Outputs'!$F$11*'Nutrient Inputs'!$M$5)</f>
        <v>-85660.000000000015</v>
      </c>
      <c r="H67" s="683"/>
      <c r="I67" s="684">
        <f>I63*MIN(E57,E60)</f>
        <v>-145536</v>
      </c>
      <c r="J67" s="684">
        <f>I63*E60</f>
        <v>-145536</v>
      </c>
      <c r="K67" s="684"/>
      <c r="L67" s="684">
        <f>L63*E61</f>
        <v>-146758.62068965519</v>
      </c>
      <c r="M67" s="692"/>
      <c r="N67" s="685"/>
      <c r="O67" s="699"/>
      <c r="P67" s="699"/>
      <c r="Q67" s="699">
        <f>MIN(O56,O58)*Q63</f>
        <v>-126239.2776575496</v>
      </c>
      <c r="R67" s="699"/>
      <c r="S67" s="699">
        <f>MIN(O60,O57)*S63</f>
        <v>-180308.88920689916</v>
      </c>
      <c r="T67" s="692">
        <f>IF($Q$68&gt;$S$68,Q67,S67)</f>
        <v>-180308.88920689916</v>
      </c>
      <c r="U67" s="692">
        <f>U63*O61</f>
        <v>-180771.1060770216</v>
      </c>
      <c r="V67" s="908">
        <f>(Q67-L67)/L67</f>
        <v>-0.13981695205147138</v>
      </c>
      <c r="W67" s="903"/>
      <c r="X67" s="915"/>
      <c r="Y67" s="915">
        <f>Y63*Z61</f>
        <v>-7395.7183098591577</v>
      </c>
      <c r="Z67" s="692"/>
      <c r="AA67" s="692">
        <f t="shared" ref="AA67:AA68" si="18">U67+Y67</f>
        <v>-188166.82438688076</v>
      </c>
      <c r="AB67" s="692">
        <f>IFERROR(AA67-L67,0)</f>
        <v>-41408.203697225574</v>
      </c>
      <c r="AC67" s="685"/>
      <c r="AD67" s="685"/>
      <c r="AE67" s="685"/>
      <c r="AF67" s="709"/>
      <c r="AG67" s="700"/>
      <c r="AH67" s="709"/>
      <c r="AI67" s="700"/>
      <c r="AJ67" s="700"/>
      <c r="AK67" s="700"/>
      <c r="AL67" s="717">
        <f>AL63*MIN(AK56,AK58)</f>
        <v>-142756.77132582772</v>
      </c>
      <c r="AM67" s="717"/>
      <c r="AN67" s="717">
        <f>AN63*MIN(AK60,AK57)</f>
        <v>-197692.17812489552</v>
      </c>
      <c r="AO67" s="709">
        <f>IF($AL$68&gt;$AN$68,AL67,AN67)</f>
        <v>-197692.17812489552</v>
      </c>
      <c r="AP67" s="717"/>
      <c r="AQ67" s="717">
        <f>AQ63*AK61</f>
        <v>-196617.27760749558</v>
      </c>
      <c r="AR67" s="717">
        <f>AV63*$AV$62</f>
        <v>-12535.022533913103</v>
      </c>
      <c r="AS67" s="709">
        <f t="shared" ref="AS67:AS68" si="19">AQ67+AR67</f>
        <v>-209152.30014140869</v>
      </c>
      <c r="AT67" s="709">
        <f t="shared" ref="AT67:AT68" si="20">AS67-L67</f>
        <v>-62393.679451753502</v>
      </c>
      <c r="AU67" s="700"/>
      <c r="AV67" s="709">
        <f>AS67-AA67</f>
        <v>-20985.475754527928</v>
      </c>
      <c r="AW67" s="709"/>
      <c r="AX67" s="700"/>
      <c r="AY67" s="709"/>
      <c r="AZ67" s="700"/>
    </row>
    <row r="68" spans="1:52" x14ac:dyDescent="0.25">
      <c r="A68" t="s">
        <v>327</v>
      </c>
      <c r="B68" s="680"/>
      <c r="C68" s="667"/>
      <c r="D68" s="667"/>
      <c r="E68" s="683"/>
      <c r="F68" s="683"/>
      <c r="G68" s="684">
        <f>G66+G67</f>
        <v>64732.599999999991</v>
      </c>
      <c r="H68" s="683"/>
      <c r="I68" s="684">
        <f>I66+I67</f>
        <v>80956.080000000016</v>
      </c>
      <c r="J68" s="684">
        <f>J66+J67</f>
        <v>80956.080000000016</v>
      </c>
      <c r="K68" s="684"/>
      <c r="L68" s="684">
        <f>L66+L67</f>
        <v>79733.459310344799</v>
      </c>
      <c r="M68" s="692"/>
      <c r="N68" s="685"/>
      <c r="O68" s="699"/>
      <c r="P68" s="699"/>
      <c r="Q68" s="699">
        <f>Q66+Q67</f>
        <v>110399.65178526938</v>
      </c>
      <c r="R68" s="699"/>
      <c r="S68" s="699">
        <f>S66+S67</f>
        <v>136835.1850955562</v>
      </c>
      <c r="T68" s="692">
        <f>MAX(Q68,S68)</f>
        <v>136835.1850955562</v>
      </c>
      <c r="U68" s="692">
        <f>U66+U67</f>
        <v>136673.40919101334</v>
      </c>
      <c r="V68" s="908">
        <f>(Q68-L68)/L68</f>
        <v>0.38460882972057225</v>
      </c>
      <c r="W68" s="903"/>
      <c r="X68" s="915"/>
      <c r="Y68" s="915">
        <f>Y66+Y67</f>
        <v>-109.39516659259607</v>
      </c>
      <c r="Z68" s="692"/>
      <c r="AA68" s="692">
        <f t="shared" si="18"/>
        <v>136564.01402442076</v>
      </c>
      <c r="AB68" s="692">
        <f>IFERROR(AA68-L68,0)</f>
        <v>56830.554714075959</v>
      </c>
      <c r="AC68" s="685"/>
      <c r="AD68" s="685"/>
      <c r="AE68" s="685"/>
      <c r="AF68" s="709"/>
      <c r="AG68" s="700"/>
      <c r="AH68" s="709"/>
      <c r="AI68" s="700"/>
      <c r="AJ68" s="700"/>
      <c r="AK68" s="700"/>
      <c r="AL68" s="717">
        <f>AL66+AL67</f>
        <v>136121.14788876227</v>
      </c>
      <c r="AM68" s="717"/>
      <c r="AN68" s="717">
        <f>AN66+AN67</f>
        <v>140641.30735582937</v>
      </c>
      <c r="AO68" s="709">
        <f>MAX(AL68,AN68)</f>
        <v>140641.30735582937</v>
      </c>
      <c r="AP68" s="717"/>
      <c r="AQ68" s="717">
        <f>AQ66+AQ67</f>
        <v>141017.52253691942</v>
      </c>
      <c r="AR68" s="717">
        <f>AR66+AR67</f>
        <v>3553.7357369836827</v>
      </c>
      <c r="AS68" s="709">
        <f t="shared" si="19"/>
        <v>144571.25827390311</v>
      </c>
      <c r="AT68" s="709">
        <f t="shared" si="20"/>
        <v>64837.798963558307</v>
      </c>
      <c r="AU68" s="715"/>
      <c r="AV68" s="709">
        <f>AS68-AA68</f>
        <v>8007.2442494823481</v>
      </c>
      <c r="AW68" s="709"/>
      <c r="AX68" s="700"/>
      <c r="AY68" s="709"/>
      <c r="AZ68" s="700"/>
    </row>
    <row r="69" spans="1:52" x14ac:dyDescent="0.25">
      <c r="B69" s="667"/>
      <c r="C69" s="683"/>
      <c r="D69" s="683"/>
      <c r="E69" s="683"/>
      <c r="F69" s="683"/>
      <c r="G69" s="679">
        <f>G68/$B$25</f>
        <v>16.642482517482513</v>
      </c>
      <c r="H69" s="683"/>
      <c r="I69" s="679">
        <f>I68/$B$25</f>
        <v>20.813471822295355</v>
      </c>
      <c r="J69" s="679">
        <f>J68/$B$25</f>
        <v>20.813471822295355</v>
      </c>
      <c r="K69" s="679"/>
      <c r="L69" s="679">
        <f>L68/$B$25</f>
        <v>20.499141122569107</v>
      </c>
      <c r="M69" s="759" t="s">
        <v>622</v>
      </c>
      <c r="N69" s="692"/>
      <c r="O69" s="692"/>
      <c r="P69" s="692"/>
      <c r="Q69" s="695">
        <f>Q68/$N$25</f>
        <v>14.64264042989938</v>
      </c>
      <c r="R69" s="695"/>
      <c r="S69" s="695">
        <f>S68/$N$25</f>
        <v>18.1488653370943</v>
      </c>
      <c r="T69" s="695">
        <f>T68/$N$25</f>
        <v>18.1488653370943</v>
      </c>
      <c r="U69" s="695"/>
      <c r="V69" s="916" t="s">
        <v>622</v>
      </c>
      <c r="W69" s="903"/>
      <c r="X69" s="914"/>
      <c r="Y69" s="914">
        <f>Y68/X41</f>
        <v>-0.15970097312787748</v>
      </c>
      <c r="Z69" s="759" t="s">
        <v>622</v>
      </c>
      <c r="AA69" s="685"/>
      <c r="AB69" s="685"/>
      <c r="AC69" s="685"/>
      <c r="AD69" s="685"/>
      <c r="AE69" s="685"/>
      <c r="AF69" s="700"/>
      <c r="AG69" s="700"/>
      <c r="AH69" s="700"/>
      <c r="AI69" s="700"/>
      <c r="AJ69" s="700"/>
      <c r="AK69" s="700"/>
      <c r="AL69" s="714">
        <f>AL68/$AF25</f>
        <v>13.289844910598177</v>
      </c>
      <c r="AM69" s="714"/>
      <c r="AN69" s="714">
        <f>AN68/$AF25</f>
        <v>13.731159278131903</v>
      </c>
      <c r="AO69" s="714">
        <f>AO68/$AF25</f>
        <v>13.731159278131903</v>
      </c>
      <c r="AP69" s="714"/>
      <c r="AQ69" s="714">
        <f>AQ68/$AF25</f>
        <v>13.767890098340571</v>
      </c>
      <c r="AR69" s="714">
        <f>AR68/$AF$25</f>
        <v>0.34696002443616258</v>
      </c>
      <c r="AS69" s="700"/>
      <c r="AT69" s="714">
        <f>AT68/$AF$25</f>
        <v>6.3302749494472277</v>
      </c>
      <c r="AU69" s="715"/>
      <c r="AV69" s="714">
        <f>AV68/AR40</f>
        <v>1.9163693310847281</v>
      </c>
      <c r="AW69" s="760" t="s">
        <v>622</v>
      </c>
      <c r="AX69" s="714"/>
      <c r="AY69" s="700"/>
      <c r="AZ69" s="700"/>
    </row>
    <row r="70" spans="1:52" x14ac:dyDescent="0.25">
      <c r="B70" s="667"/>
      <c r="C70" s="683"/>
      <c r="D70" s="683"/>
      <c r="E70" s="683"/>
      <c r="F70" s="683"/>
      <c r="G70" s="683"/>
      <c r="H70" s="683"/>
      <c r="I70" s="683"/>
      <c r="J70" s="1024" t="str">
        <f>IF(J68=G68,"N-based","P or land-based")</f>
        <v>P or land-based</v>
      </c>
      <c r="K70" s="1024"/>
      <c r="L70" s="1024"/>
      <c r="M70" s="759"/>
      <c r="N70" s="692"/>
      <c r="O70" s="692"/>
      <c r="P70" s="695"/>
      <c r="Q70" s="695"/>
      <c r="R70" s="695"/>
      <c r="S70" s="695"/>
      <c r="T70" s="695" t="str">
        <f>IF(T68=Q68,"N-based","P or land-based")</f>
        <v>P or land-based</v>
      </c>
      <c r="U70" s="695"/>
      <c r="V70" s="759"/>
      <c r="W70" s="685"/>
      <c r="X70" s="685"/>
      <c r="Y70" s="695"/>
      <c r="Z70" s="759"/>
      <c r="AA70" s="685"/>
      <c r="AB70" s="685"/>
      <c r="AC70" s="685"/>
      <c r="AD70" s="685"/>
      <c r="AE70" s="685"/>
      <c r="AF70" s="700"/>
      <c r="AG70" s="700"/>
      <c r="AH70" s="700"/>
      <c r="AI70" s="700"/>
      <c r="AJ70" s="700"/>
      <c r="AK70" s="700"/>
      <c r="AL70" s="700"/>
      <c r="AM70" s="700"/>
      <c r="AN70" s="700"/>
      <c r="AO70" s="714" t="str">
        <f>IF(AO68=AL68,"N-based","P or land-based")</f>
        <v>P or land-based</v>
      </c>
      <c r="AP70" s="714"/>
      <c r="AQ70" s="714"/>
      <c r="AR70" s="700"/>
      <c r="AS70" s="700"/>
      <c r="AT70" s="700"/>
      <c r="AU70" s="901"/>
      <c r="AV70" s="715" t="str">
        <f>IF(AV61&gt;=AV56,"Yes, enough cropland is available to apply liquid and bedding.","No, more cropland will be needed to apply liquid and bedding.")</f>
        <v>Yes, enough cropland is available to apply liquid and bedding.</v>
      </c>
      <c r="AW70" s="713"/>
      <c r="AX70" s="714"/>
      <c r="AY70" s="700"/>
      <c r="AZ70" s="700"/>
    </row>
    <row r="71" spans="1:52" x14ac:dyDescent="0.25">
      <c r="B71" s="667"/>
      <c r="C71" s="840"/>
      <c r="D71" s="680" t="str">
        <f>IF('Key inputs &amp; Outputs'!$F$11*'Nutrient Inputs'!$M$5&gt;=E58,"Yes, enough cropland is available.","No, more cropland will be needed.")</f>
        <v>Yes, enough cropland is available.</v>
      </c>
      <c r="E71" s="683"/>
      <c r="F71" s="683"/>
      <c r="G71" s="683"/>
      <c r="H71" s="683"/>
      <c r="I71" s="683"/>
      <c r="J71" s="679"/>
      <c r="K71" s="679"/>
      <c r="L71" s="679"/>
      <c r="M71" s="759"/>
      <c r="N71" s="692"/>
      <c r="O71" s="692"/>
      <c r="P71" s="695"/>
      <c r="Q71" s="695"/>
      <c r="R71" s="695"/>
      <c r="S71" s="695"/>
      <c r="T71" s="695"/>
      <c r="U71" s="695"/>
      <c r="V71" s="759"/>
      <c r="W71" s="685"/>
      <c r="X71" s="685"/>
      <c r="Y71" s="841"/>
      <c r="Z71" s="697" t="str">
        <f>IF(Z58&gt;=Z55,"Yes, enough cropland is available to apply liquid and bedding.","No, more cropland will be needed to apply liquid and bedding.")</f>
        <v>Yes, enough cropland is available to apply liquid and bedding.</v>
      </c>
      <c r="AA71" s="696"/>
      <c r="AB71" s="685"/>
      <c r="AC71" s="685"/>
      <c r="AD71" s="685"/>
      <c r="AE71" s="685"/>
      <c r="AF71" s="700"/>
      <c r="AG71" s="700"/>
      <c r="AH71" s="700"/>
      <c r="AI71" s="700"/>
      <c r="AJ71" s="700"/>
      <c r="AK71" s="700"/>
      <c r="AL71" s="700"/>
      <c r="AM71" s="700"/>
      <c r="AN71" s="700"/>
      <c r="AO71" s="714"/>
      <c r="AP71" s="714"/>
      <c r="AQ71" s="714"/>
      <c r="AR71" s="700"/>
      <c r="AS71" s="700"/>
      <c r="AT71" s="700"/>
      <c r="AU71" s="700"/>
      <c r="AV71" s="715"/>
      <c r="AW71" s="715"/>
      <c r="AX71" s="715"/>
      <c r="AY71" s="700"/>
      <c r="AZ71" s="700"/>
    </row>
    <row r="72" spans="1:52" x14ac:dyDescent="0.25">
      <c r="B72" s="667"/>
      <c r="C72" s="839"/>
      <c r="D72" s="680" t="str">
        <f>IF(C51*E58&gt;E51*'Key inputs &amp; Outputs'!$F$11*'Nutrient Inputs'!$M$5,"Yes, excess P is being applied and may build up over time.","No, P applications are less than or equal to crop P needs.")</f>
        <v>Yes, excess P is being applied and may build up over time.</v>
      </c>
      <c r="E72" s="683"/>
      <c r="F72" s="683"/>
      <c r="G72" s="683"/>
      <c r="H72" s="683"/>
      <c r="I72" s="683"/>
      <c r="J72" s="679"/>
      <c r="K72" s="679"/>
      <c r="L72" s="679"/>
      <c r="M72" s="759"/>
      <c r="N72" s="692"/>
      <c r="O72" s="692"/>
      <c r="P72" s="695"/>
      <c r="Q72" s="695"/>
      <c r="R72" s="695"/>
      <c r="S72" s="695"/>
      <c r="T72" s="695"/>
      <c r="U72" s="695"/>
      <c r="V72" s="759"/>
      <c r="W72" s="685"/>
      <c r="X72" s="685"/>
      <c r="Y72" s="697"/>
      <c r="Z72" s="697"/>
      <c r="AA72" s="696"/>
      <c r="AB72" s="685"/>
      <c r="AC72" s="685"/>
      <c r="AD72" s="685"/>
      <c r="AE72" s="685"/>
      <c r="AF72" s="700"/>
      <c r="AG72" s="700"/>
      <c r="AH72" s="700"/>
      <c r="AI72" s="700"/>
      <c r="AJ72" s="700"/>
      <c r="AK72" s="700"/>
      <c r="AL72" s="700"/>
      <c r="AM72" s="700"/>
      <c r="AN72" s="700"/>
      <c r="AO72" s="714"/>
      <c r="AP72" s="714"/>
      <c r="AQ72" s="714"/>
      <c r="AR72" s="700"/>
      <c r="AS72" s="700"/>
      <c r="AT72" s="700"/>
      <c r="AU72" s="715"/>
      <c r="AV72" s="700"/>
      <c r="AW72" s="700"/>
      <c r="AX72" s="700"/>
      <c r="AY72" s="700"/>
      <c r="AZ72" s="700"/>
    </row>
    <row r="73" spans="1:52" s="719" customFormat="1" ht="18.75" x14ac:dyDescent="0.3">
      <c r="A73" s="721" t="s">
        <v>733</v>
      </c>
      <c r="C73" s="725"/>
      <c r="D73" s="725"/>
      <c r="N73" s="720"/>
      <c r="T73" s="727"/>
      <c r="U73" s="727"/>
      <c r="V73" s="720"/>
      <c r="W73" s="720"/>
      <c r="X73" s="720"/>
      <c r="Y73" s="720"/>
      <c r="Z73" s="720"/>
      <c r="AA73" s="720"/>
      <c r="AB73" s="727"/>
      <c r="AD73" s="727"/>
      <c r="AF73" s="726"/>
      <c r="AH73" s="720"/>
      <c r="AI73" s="720"/>
      <c r="AJ73" s="720"/>
      <c r="AP73" s="727"/>
      <c r="AQ73" s="727"/>
      <c r="AR73" s="700"/>
      <c r="AS73" s="700"/>
      <c r="AT73" s="700"/>
      <c r="AU73" s="700"/>
      <c r="AV73" s="715"/>
      <c r="AW73" s="713"/>
      <c r="AX73" s="714"/>
      <c r="AY73" s="701"/>
      <c r="AZ73" s="700"/>
    </row>
    <row r="74" spans="1:52" s="890" customFormat="1" ht="18.75" x14ac:dyDescent="0.3">
      <c r="A74" s="448" t="s">
        <v>714</v>
      </c>
      <c r="C74" s="891" t="str">
        <f>'Key inputs &amp; Outputs'!F13</f>
        <v>Yes</v>
      </c>
      <c r="D74" s="891"/>
      <c r="N74" s="892"/>
      <c r="T74" s="893"/>
      <c r="U74" s="893"/>
      <c r="V74" s="892"/>
      <c r="W74" s="892"/>
      <c r="X74" s="892"/>
      <c r="Y74" s="892"/>
      <c r="Z74" s="892"/>
      <c r="AA74" s="892"/>
      <c r="AB74" s="893"/>
      <c r="AD74" s="893"/>
      <c r="AF74" s="894"/>
      <c r="AH74" s="892"/>
      <c r="AI74" s="892"/>
      <c r="AJ74" s="892"/>
      <c r="AP74" s="893"/>
      <c r="AQ74" s="893"/>
      <c r="AR74" s="700"/>
      <c r="AS74" s="700"/>
      <c r="AT74" s="700"/>
      <c r="AU74" s="700"/>
      <c r="AV74" s="715"/>
      <c r="AW74" s="713"/>
      <c r="AX74" s="714"/>
      <c r="AY74" s="701"/>
      <c r="AZ74" s="900"/>
    </row>
    <row r="75" spans="1:52" x14ac:dyDescent="0.25">
      <c r="C75" s="409"/>
      <c r="D75" s="409"/>
      <c r="E75" s="409"/>
      <c r="F75" s="409"/>
      <c r="G75" s="409"/>
      <c r="H75" s="409"/>
      <c r="I75" s="409"/>
      <c r="J75" s="409"/>
      <c r="K75" s="409"/>
      <c r="L75" s="409"/>
      <c r="M75" s="692"/>
      <c r="N75" s="409" t="s">
        <v>816</v>
      </c>
      <c r="O75" s="409"/>
      <c r="P75" s="409"/>
      <c r="Q75" s="409"/>
      <c r="R75" s="409"/>
      <c r="S75" s="409"/>
      <c r="T75" s="409"/>
      <c r="U75" s="409"/>
      <c r="V75" s="409"/>
      <c r="W75" s="409"/>
      <c r="X75" s="409"/>
      <c r="Y75" s="409"/>
      <c r="Z75" s="409"/>
      <c r="AF75" s="409" t="str">
        <f>N75</f>
        <v>Calculation of  savings from bedding with the manure solids</v>
      </c>
    </row>
    <row r="76" spans="1:52" x14ac:dyDescent="0.25">
      <c r="C76" s="409"/>
      <c r="D76" s="409"/>
      <c r="E76" s="409"/>
      <c r="F76" s="409"/>
      <c r="G76" s="409"/>
      <c r="H76" s="409"/>
      <c r="I76" s="409"/>
      <c r="J76" s="409"/>
      <c r="K76" s="409"/>
      <c r="L76" s="409"/>
      <c r="M76" s="692"/>
      <c r="N76" t="s">
        <v>595</v>
      </c>
      <c r="AF76" t="s">
        <v>841</v>
      </c>
    </row>
    <row r="77" spans="1:52" x14ac:dyDescent="0.25">
      <c r="C77" s="409"/>
      <c r="D77" s="409"/>
      <c r="E77" s="409"/>
      <c r="F77" s="409"/>
      <c r="G77" s="409"/>
      <c r="H77" s="409"/>
      <c r="I77" s="409"/>
      <c r="J77" s="409"/>
      <c r="K77" s="409"/>
      <c r="L77" s="409"/>
      <c r="M77" s="692"/>
      <c r="N77" s="689">
        <f>IF(C74="Yes",(N21*'Nutrient Inputs'!E15+N22*'Nutrient Inputs'!E16)*365/'Nutrient Inputs'!E21,0)</f>
        <v>4930.4788732394381</v>
      </c>
      <c r="O77" s="685" t="s">
        <v>758</v>
      </c>
      <c r="P77" s="409"/>
      <c r="Q77" s="409"/>
      <c r="R77" s="409"/>
      <c r="S77" s="409"/>
      <c r="T77" s="409"/>
      <c r="U77" s="409"/>
      <c r="V77" s="409"/>
      <c r="W77" s="409"/>
      <c r="X77" s="409"/>
      <c r="Y77" s="409"/>
      <c r="Z77" s="409"/>
      <c r="AF77" s="706">
        <f>IF(C74="Yes",(AF21*'Nutrient Inputs'!E15+AF22*'Nutrient Inputs'!E16+AF23*'Nutrient Inputs'!E17)*365/'Nutrient Inputs'!E21,0)</f>
        <v>8356.6816892754014</v>
      </c>
      <c r="AG77" s="700" t="s">
        <v>758</v>
      </c>
      <c r="AH77" s="700"/>
    </row>
    <row r="78" spans="1:52" x14ac:dyDescent="0.25">
      <c r="C78" s="409"/>
      <c r="D78" s="409"/>
      <c r="E78" s="409"/>
      <c r="F78" s="409"/>
      <c r="G78" s="409"/>
      <c r="H78" s="409"/>
      <c r="I78" s="409"/>
      <c r="J78" s="409"/>
      <c r="K78" s="409"/>
      <c r="L78" s="409"/>
      <c r="M78" s="692"/>
      <c r="N78" s="690">
        <f>'Nutrient Inputs'!E39</f>
        <v>30</v>
      </c>
      <c r="O78" s="685" t="s">
        <v>815</v>
      </c>
      <c r="P78" s="409"/>
      <c r="Q78" s="409"/>
      <c r="R78" s="409"/>
      <c r="S78" s="409"/>
      <c r="T78" s="409"/>
      <c r="U78" s="409"/>
      <c r="V78" s="409"/>
      <c r="W78" s="409"/>
      <c r="X78" s="409"/>
      <c r="Y78" s="409"/>
      <c r="Z78" s="409"/>
      <c r="AF78" s="705">
        <f>N78</f>
        <v>30</v>
      </c>
      <c r="AG78" s="700" t="s">
        <v>815</v>
      </c>
      <c r="AH78" s="700"/>
    </row>
    <row r="79" spans="1:52" x14ac:dyDescent="0.25">
      <c r="C79" s="409"/>
      <c r="D79" s="409"/>
      <c r="E79" s="409"/>
      <c r="F79" s="409"/>
      <c r="G79" s="409"/>
      <c r="H79" s="409"/>
      <c r="I79" s="409"/>
      <c r="J79" s="409"/>
      <c r="K79" s="409"/>
      <c r="L79" s="409"/>
      <c r="M79" s="692"/>
      <c r="N79" s="692">
        <f>N77*N78*'Nutrient Inputs'!E18</f>
        <v>73957.183098591573</v>
      </c>
      <c r="O79" s="685" t="s">
        <v>408</v>
      </c>
      <c r="P79" s="409"/>
      <c r="Q79" s="409"/>
      <c r="R79" s="409"/>
      <c r="S79" s="409"/>
      <c r="T79" s="409"/>
      <c r="U79" s="409"/>
      <c r="V79" s="409"/>
      <c r="W79" s="409"/>
      <c r="X79" s="409"/>
      <c r="Y79" s="409"/>
      <c r="Z79" s="409"/>
      <c r="AF79" s="709">
        <f>AF77*AF78*'Nutrient Inputs'!E18</f>
        <v>125350.22533913102</v>
      </c>
      <c r="AG79" s="700" t="s">
        <v>408</v>
      </c>
      <c r="AH79" s="700"/>
    </row>
    <row r="80" spans="1:52" x14ac:dyDescent="0.25">
      <c r="C80" s="409"/>
      <c r="D80" s="409"/>
      <c r="E80" s="409"/>
      <c r="F80" s="409"/>
      <c r="G80" s="409"/>
      <c r="H80" s="409"/>
      <c r="I80" s="409"/>
      <c r="J80" s="409"/>
      <c r="K80" s="409"/>
      <c r="L80" s="409"/>
      <c r="M80" s="692"/>
      <c r="N80" s="409"/>
      <c r="O80" s="409"/>
      <c r="P80" s="409"/>
      <c r="Q80" s="409"/>
      <c r="R80" s="409"/>
      <c r="S80" s="409"/>
      <c r="T80" s="409"/>
      <c r="U80" s="409"/>
      <c r="V80" s="409"/>
      <c r="W80" s="409"/>
      <c r="X80" s="409"/>
      <c r="Y80" s="409"/>
      <c r="Z80" s="409"/>
    </row>
    <row r="81" spans="3:26" x14ac:dyDescent="0.25">
      <c r="C81" s="409"/>
      <c r="D81" s="409"/>
      <c r="E81" s="409"/>
      <c r="F81" s="409"/>
      <c r="G81" s="409"/>
      <c r="H81" s="409"/>
      <c r="I81" s="409"/>
      <c r="J81" s="409"/>
      <c r="K81" s="409"/>
      <c r="L81" s="409"/>
      <c r="M81" s="692"/>
      <c r="N81" s="409"/>
      <c r="O81" s="409"/>
      <c r="P81" s="409"/>
      <c r="Q81" s="409"/>
      <c r="R81" s="409"/>
      <c r="S81" s="409"/>
      <c r="T81" s="409"/>
      <c r="U81" s="409"/>
      <c r="V81" s="409"/>
      <c r="W81" s="409"/>
      <c r="X81" s="409"/>
      <c r="Y81" s="409"/>
      <c r="Z81" s="409"/>
    </row>
    <row r="82" spans="3:26" x14ac:dyDescent="0.25">
      <c r="C82" s="409"/>
      <c r="D82" s="409"/>
      <c r="E82" s="409"/>
      <c r="F82" s="409"/>
      <c r="G82" s="409"/>
      <c r="H82" s="409"/>
      <c r="I82" s="409"/>
      <c r="J82" s="409"/>
      <c r="K82" s="409"/>
      <c r="L82" s="409"/>
      <c r="M82" s="692"/>
      <c r="N82" s="409"/>
      <c r="O82" s="409"/>
      <c r="P82" s="409"/>
      <c r="Q82" s="409"/>
      <c r="R82" s="409"/>
      <c r="S82" s="409"/>
      <c r="T82" s="409"/>
      <c r="U82" s="409"/>
      <c r="V82" s="409"/>
      <c r="W82" s="409"/>
      <c r="X82" s="409"/>
      <c r="Y82" s="409"/>
      <c r="Z82" s="409"/>
    </row>
    <row r="83" spans="3:26" x14ac:dyDescent="0.25">
      <c r="C83" s="409"/>
      <c r="D83" s="409"/>
      <c r="E83" s="409"/>
      <c r="F83" s="409"/>
      <c r="G83" s="409"/>
      <c r="H83" s="409"/>
      <c r="I83" s="409"/>
      <c r="J83" s="409"/>
      <c r="K83" s="409"/>
      <c r="L83" s="409"/>
      <c r="M83" s="692"/>
      <c r="N83" s="409"/>
      <c r="O83" s="409"/>
      <c r="P83" s="409"/>
      <c r="Q83" s="409"/>
      <c r="R83" s="409"/>
      <c r="S83" s="409"/>
      <c r="T83" s="409"/>
      <c r="U83" s="409"/>
      <c r="V83" s="409"/>
      <c r="W83" s="409"/>
      <c r="X83" s="409"/>
      <c r="Y83" s="409"/>
      <c r="Z83" s="409"/>
    </row>
    <row r="84" spans="3:26" x14ac:dyDescent="0.25">
      <c r="C84" s="409"/>
      <c r="D84" s="409"/>
      <c r="E84" s="409"/>
      <c r="F84" s="409"/>
      <c r="G84" s="409"/>
      <c r="H84" s="409"/>
      <c r="I84" s="409"/>
      <c r="J84" s="409"/>
      <c r="K84" s="409"/>
      <c r="L84" s="409"/>
      <c r="M84" s="692"/>
      <c r="N84" s="409"/>
      <c r="O84" s="409"/>
      <c r="P84" s="409"/>
      <c r="Q84" s="409"/>
      <c r="R84" s="409"/>
      <c r="S84" s="409"/>
      <c r="T84" s="409"/>
      <c r="U84" s="409"/>
      <c r="V84" s="409"/>
      <c r="W84" s="409"/>
      <c r="X84" s="409"/>
      <c r="Y84" s="409"/>
      <c r="Z84" s="409"/>
    </row>
    <row r="85" spans="3:26" x14ac:dyDescent="0.25">
      <c r="C85" s="409"/>
      <c r="D85" s="409"/>
      <c r="E85" s="409"/>
      <c r="F85" s="409"/>
      <c r="G85" s="409"/>
      <c r="H85" s="409"/>
      <c r="I85" s="409"/>
      <c r="J85" s="409"/>
      <c r="K85" s="409"/>
      <c r="L85" s="409"/>
      <c r="M85" s="692"/>
      <c r="N85" s="409"/>
      <c r="O85" s="409"/>
      <c r="P85" s="409"/>
      <c r="Q85" s="409"/>
      <c r="R85" s="409"/>
      <c r="S85" s="409"/>
      <c r="T85" s="409"/>
      <c r="U85" s="409"/>
      <c r="V85" s="409"/>
      <c r="W85" s="409"/>
      <c r="X85" s="409"/>
      <c r="Y85" s="409"/>
      <c r="Z85" s="409"/>
    </row>
    <row r="86" spans="3:26" x14ac:dyDescent="0.25">
      <c r="C86" s="409"/>
      <c r="D86" s="409"/>
      <c r="E86" s="409"/>
      <c r="F86" s="409"/>
      <c r="G86" s="409"/>
      <c r="H86" s="409"/>
      <c r="I86" s="409"/>
      <c r="J86" s="409"/>
      <c r="K86" s="409"/>
      <c r="L86" s="409"/>
      <c r="M86" s="692"/>
      <c r="N86" s="409"/>
      <c r="O86" s="409"/>
      <c r="P86" s="409"/>
      <c r="Q86" s="409"/>
      <c r="R86" s="409"/>
      <c r="S86" s="409"/>
      <c r="T86" s="409"/>
      <c r="U86" s="409"/>
      <c r="V86" s="409"/>
      <c r="W86" s="409"/>
      <c r="X86" s="409"/>
      <c r="Y86" s="409"/>
      <c r="Z86" s="409"/>
    </row>
    <row r="87" spans="3:26" x14ac:dyDescent="0.25">
      <c r="C87" s="409"/>
      <c r="D87" s="409"/>
      <c r="E87" s="409"/>
      <c r="F87" s="409"/>
      <c r="G87" s="409"/>
      <c r="H87" s="409"/>
      <c r="I87" s="409"/>
      <c r="J87" s="409"/>
      <c r="K87" s="409"/>
      <c r="L87" s="409"/>
      <c r="M87" s="692"/>
      <c r="N87" s="409"/>
      <c r="O87" s="409"/>
      <c r="P87" s="409"/>
      <c r="Q87" s="409"/>
      <c r="R87" s="409"/>
      <c r="S87" s="409"/>
      <c r="T87" s="409"/>
      <c r="U87" s="409"/>
      <c r="V87" s="409"/>
      <c r="W87" s="409"/>
      <c r="X87" s="409"/>
      <c r="Y87" s="409"/>
      <c r="Z87" s="409"/>
    </row>
    <row r="88" spans="3:26" x14ac:dyDescent="0.25">
      <c r="C88" s="409"/>
      <c r="D88" s="409"/>
      <c r="E88" s="409"/>
      <c r="F88" s="409"/>
      <c r="G88" s="409"/>
      <c r="H88" s="409"/>
      <c r="I88" s="409"/>
      <c r="J88" s="409"/>
      <c r="K88" s="409"/>
      <c r="L88" s="409"/>
      <c r="M88" s="692"/>
      <c r="N88" s="409"/>
      <c r="O88" s="409"/>
      <c r="P88" s="409"/>
      <c r="Q88" s="409"/>
      <c r="R88" s="409"/>
      <c r="S88" s="409"/>
      <c r="T88" s="409"/>
      <c r="U88" s="409"/>
      <c r="V88" s="409"/>
      <c r="W88" s="409"/>
      <c r="X88" s="409"/>
      <c r="Y88" s="409"/>
      <c r="Z88" s="409"/>
    </row>
    <row r="89" spans="3:26" x14ac:dyDescent="0.25">
      <c r="C89" s="409"/>
      <c r="D89" s="409"/>
      <c r="E89" s="409"/>
      <c r="F89" s="409"/>
      <c r="G89" s="409"/>
      <c r="H89" s="409"/>
      <c r="I89" s="409"/>
      <c r="J89" s="409"/>
      <c r="K89" s="409"/>
      <c r="L89" s="409"/>
      <c r="M89" s="692"/>
      <c r="N89" s="409"/>
      <c r="O89" s="409"/>
      <c r="P89" s="409"/>
      <c r="Q89" s="409"/>
      <c r="R89" s="409"/>
      <c r="S89" s="409"/>
      <c r="T89" s="409"/>
      <c r="U89" s="409"/>
      <c r="V89" s="409"/>
      <c r="W89" s="409"/>
      <c r="X89" s="409"/>
      <c r="Y89" s="409"/>
      <c r="Z89" s="409"/>
    </row>
    <row r="90" spans="3:26" x14ac:dyDescent="0.25">
      <c r="C90" s="409"/>
      <c r="D90" s="409"/>
      <c r="E90" s="409"/>
      <c r="F90" s="409"/>
      <c r="G90" s="409"/>
      <c r="H90" s="409"/>
      <c r="I90" s="409"/>
      <c r="J90" s="409"/>
      <c r="K90" s="409"/>
      <c r="L90" s="409"/>
      <c r="M90" s="692"/>
      <c r="N90" s="409"/>
      <c r="O90" s="409"/>
      <c r="P90" s="409"/>
      <c r="Q90" s="409"/>
      <c r="R90" s="409"/>
      <c r="S90" s="409"/>
      <c r="T90" s="409"/>
      <c r="U90" s="409"/>
      <c r="V90" s="409"/>
      <c r="W90" s="409"/>
      <c r="X90" s="409"/>
      <c r="Y90" s="409"/>
      <c r="Z90" s="409"/>
    </row>
    <row r="91" spans="3:26" x14ac:dyDescent="0.25">
      <c r="C91" s="409"/>
      <c r="D91" s="409"/>
      <c r="E91" s="409"/>
      <c r="F91" s="409"/>
      <c r="G91" s="409"/>
      <c r="H91" s="409"/>
      <c r="I91" s="409"/>
      <c r="J91" s="409"/>
      <c r="K91" s="409"/>
      <c r="L91" s="409"/>
      <c r="M91" s="692"/>
      <c r="N91" s="409"/>
      <c r="O91" s="409"/>
      <c r="P91" s="409"/>
      <c r="Q91" s="409"/>
      <c r="R91" s="409"/>
      <c r="S91" s="409"/>
      <c r="T91" s="409"/>
      <c r="U91" s="409"/>
      <c r="V91" s="409"/>
      <c r="W91" s="409"/>
      <c r="X91" s="409"/>
      <c r="Y91" s="409"/>
      <c r="Z91" s="409"/>
    </row>
    <row r="92" spans="3:26" x14ac:dyDescent="0.25">
      <c r="C92" s="409"/>
      <c r="D92" s="409"/>
      <c r="E92" s="409"/>
      <c r="F92" s="409"/>
      <c r="G92" s="409"/>
      <c r="H92" s="409"/>
      <c r="I92" s="409"/>
      <c r="J92" s="409"/>
      <c r="K92" s="409"/>
      <c r="L92" s="409"/>
      <c r="M92" s="692"/>
      <c r="N92" s="409"/>
      <c r="O92" s="409"/>
      <c r="P92" s="409"/>
      <c r="Q92" s="409"/>
      <c r="R92" s="409"/>
      <c r="S92" s="409"/>
      <c r="T92" s="409"/>
      <c r="U92" s="409"/>
      <c r="V92" s="409"/>
      <c r="W92" s="409"/>
      <c r="X92" s="409"/>
      <c r="Y92" s="409"/>
      <c r="Z92" s="409"/>
    </row>
    <row r="93" spans="3:26" x14ac:dyDescent="0.25">
      <c r="C93" s="409"/>
      <c r="D93" s="409"/>
      <c r="E93" s="409"/>
      <c r="F93" s="409"/>
      <c r="G93" s="409"/>
      <c r="H93" s="409"/>
      <c r="I93" s="409"/>
      <c r="J93" s="409"/>
      <c r="K93" s="409"/>
      <c r="L93" s="409"/>
      <c r="M93" s="692"/>
      <c r="N93" s="409"/>
      <c r="O93" s="409"/>
      <c r="P93" s="409"/>
      <c r="Q93" s="409"/>
      <c r="R93" s="409"/>
      <c r="S93" s="409"/>
      <c r="T93" s="409"/>
      <c r="U93" s="409"/>
      <c r="V93" s="409"/>
      <c r="W93" s="409"/>
      <c r="X93" s="409"/>
      <c r="Y93" s="409"/>
      <c r="Z93" s="409"/>
    </row>
    <row r="94" spans="3:26" x14ac:dyDescent="0.25">
      <c r="C94" s="409"/>
      <c r="D94" s="409"/>
      <c r="E94" s="409"/>
      <c r="F94" s="409"/>
      <c r="G94" s="409"/>
      <c r="H94" s="409"/>
      <c r="I94" s="409"/>
      <c r="J94" s="409"/>
      <c r="K94" s="409"/>
      <c r="L94" s="409"/>
      <c r="M94" s="692"/>
      <c r="N94" s="409"/>
      <c r="O94" s="409"/>
      <c r="P94" s="409"/>
      <c r="Q94" s="409"/>
      <c r="R94" s="409"/>
      <c r="S94" s="409"/>
      <c r="T94" s="409"/>
      <c r="U94" s="409"/>
      <c r="V94" s="409"/>
      <c r="W94" s="409"/>
      <c r="X94" s="409"/>
      <c r="Y94" s="409"/>
      <c r="Z94" s="409"/>
    </row>
    <row r="95" spans="3:26" x14ac:dyDescent="0.25">
      <c r="C95" s="409"/>
      <c r="D95" s="409"/>
      <c r="E95" s="409"/>
      <c r="F95" s="409"/>
      <c r="G95" s="409"/>
      <c r="H95" s="409"/>
      <c r="I95" s="409"/>
      <c r="J95" s="409"/>
      <c r="K95" s="409"/>
      <c r="L95" s="409"/>
      <c r="M95" s="692"/>
      <c r="N95" s="409"/>
      <c r="O95" s="409"/>
      <c r="P95" s="409"/>
      <c r="Q95" s="409"/>
      <c r="R95" s="409"/>
      <c r="S95" s="409"/>
      <c r="T95" s="409"/>
      <c r="U95" s="409"/>
      <c r="V95" s="409"/>
      <c r="W95" s="409"/>
      <c r="X95" s="409"/>
      <c r="Y95" s="409"/>
      <c r="Z95" s="409"/>
    </row>
    <row r="96" spans="3:26" x14ac:dyDescent="0.25">
      <c r="C96" s="409"/>
      <c r="D96" s="409"/>
      <c r="E96" s="409"/>
      <c r="F96" s="409"/>
      <c r="G96" s="409"/>
      <c r="H96" s="409"/>
      <c r="I96" s="409"/>
      <c r="J96" s="409"/>
      <c r="K96" s="409"/>
      <c r="L96" s="409"/>
      <c r="M96" s="692"/>
      <c r="N96" s="409"/>
      <c r="O96" s="409"/>
      <c r="P96" s="409"/>
      <c r="Q96" s="409"/>
      <c r="R96" s="409"/>
      <c r="S96" s="409"/>
      <c r="T96" s="409"/>
      <c r="U96" s="409"/>
      <c r="V96" s="409"/>
      <c r="W96" s="409"/>
      <c r="X96" s="409"/>
      <c r="Y96" s="409"/>
      <c r="Z96" s="409"/>
    </row>
    <row r="97" spans="3:49" x14ac:dyDescent="0.25">
      <c r="C97" s="409"/>
      <c r="D97" s="409"/>
      <c r="E97" s="409"/>
      <c r="F97" s="409"/>
      <c r="G97" s="409"/>
      <c r="H97" s="409"/>
      <c r="I97" s="409"/>
      <c r="J97" s="409"/>
      <c r="K97" s="409"/>
      <c r="L97" s="409"/>
      <c r="M97" s="692"/>
      <c r="N97" s="409"/>
      <c r="O97" s="409"/>
      <c r="P97" s="409"/>
      <c r="Q97" s="409"/>
      <c r="R97" s="409"/>
      <c r="S97" s="409"/>
      <c r="T97" s="409"/>
      <c r="U97" s="409"/>
      <c r="V97" s="409"/>
      <c r="W97" s="409"/>
      <c r="X97" s="409"/>
      <c r="Y97" s="409"/>
      <c r="Z97" s="409"/>
    </row>
    <row r="98" spans="3:49" x14ac:dyDescent="0.25">
      <c r="C98" s="409"/>
      <c r="D98" s="409"/>
      <c r="E98" s="409"/>
      <c r="F98" s="409"/>
      <c r="G98" s="409"/>
      <c r="H98" s="409"/>
      <c r="I98" s="409"/>
      <c r="J98" s="409"/>
      <c r="K98" s="409"/>
      <c r="L98" s="409"/>
      <c r="M98" s="692"/>
      <c r="N98" s="409"/>
      <c r="O98" s="409"/>
      <c r="P98" s="409"/>
      <c r="Q98" s="409"/>
      <c r="R98" s="409"/>
      <c r="S98" s="409"/>
      <c r="T98" s="409"/>
      <c r="U98" s="409"/>
      <c r="V98" s="409"/>
      <c r="W98" s="409"/>
      <c r="X98" s="409"/>
      <c r="Y98" s="409"/>
      <c r="Z98" s="409"/>
      <c r="AR98" s="981"/>
      <c r="AS98" s="981"/>
      <c r="AT98" s="981"/>
      <c r="AU98" s="981"/>
      <c r="AV98" s="981"/>
      <c r="AW98" s="981"/>
    </row>
    <row r="99" spans="3:49" x14ac:dyDescent="0.25">
      <c r="C99" s="409"/>
      <c r="D99" s="409"/>
      <c r="E99" s="409"/>
      <c r="F99" s="409"/>
      <c r="G99" s="409"/>
      <c r="H99" s="409"/>
      <c r="I99" s="409"/>
      <c r="J99" s="409"/>
      <c r="K99" s="409"/>
      <c r="L99" s="409"/>
      <c r="M99" s="692"/>
      <c r="N99" s="409"/>
      <c r="O99" s="409"/>
      <c r="P99" s="409"/>
      <c r="Q99" s="409"/>
      <c r="R99" s="409"/>
      <c r="S99" s="409"/>
      <c r="T99" s="409"/>
      <c r="U99" s="409"/>
      <c r="V99" s="409"/>
      <c r="W99" s="409"/>
      <c r="X99" s="409"/>
      <c r="Y99" s="409"/>
      <c r="Z99" s="409"/>
      <c r="AR99" s="981"/>
      <c r="AS99" s="981"/>
      <c r="AT99" s="1092"/>
      <c r="AU99" s="981"/>
      <c r="AV99" s="981"/>
      <c r="AW99" s="981"/>
    </row>
    <row r="100" spans="3:49" x14ac:dyDescent="0.25">
      <c r="C100" s="409"/>
      <c r="D100" s="409"/>
      <c r="E100" s="409"/>
      <c r="F100" s="409"/>
      <c r="G100" s="409"/>
      <c r="H100" s="409"/>
      <c r="I100" s="409"/>
      <c r="J100" s="409"/>
      <c r="K100" s="409"/>
      <c r="L100" s="409"/>
      <c r="M100" s="692"/>
      <c r="N100" s="409"/>
      <c r="O100" s="409"/>
      <c r="P100" s="409"/>
      <c r="Q100" s="409"/>
      <c r="R100" s="409"/>
      <c r="S100" s="409"/>
      <c r="T100" s="409"/>
      <c r="U100" s="409"/>
      <c r="V100" s="409"/>
      <c r="W100" s="409"/>
      <c r="X100" s="409"/>
      <c r="Y100" s="409"/>
      <c r="Z100" s="409"/>
      <c r="AR100" s="981"/>
      <c r="AS100" s="1093"/>
      <c r="AT100" s="1093"/>
      <c r="AU100" s="981"/>
      <c r="AV100" s="981"/>
      <c r="AW100" s="981"/>
    </row>
    <row r="101" spans="3:49" x14ac:dyDescent="0.25">
      <c r="C101" s="409"/>
      <c r="D101" s="409"/>
      <c r="E101" s="409"/>
      <c r="F101" s="409"/>
      <c r="G101" s="409"/>
      <c r="H101" s="409"/>
      <c r="I101" s="409"/>
      <c r="J101" s="409"/>
      <c r="K101" s="409"/>
      <c r="L101" s="409"/>
      <c r="M101" s="692"/>
      <c r="N101" s="409"/>
      <c r="O101" s="409"/>
      <c r="P101" s="409"/>
      <c r="Q101" s="409"/>
      <c r="R101" s="409"/>
      <c r="S101" s="409"/>
      <c r="T101" s="409"/>
      <c r="U101" s="409"/>
      <c r="V101" s="409"/>
      <c r="W101" s="409"/>
      <c r="X101" s="409"/>
      <c r="Y101" s="409"/>
      <c r="Z101" s="409"/>
      <c r="AR101" s="981"/>
      <c r="AS101" s="1094"/>
      <c r="AT101" s="1095"/>
      <c r="AU101" s="981"/>
      <c r="AV101" s="981"/>
      <c r="AW101" s="981"/>
    </row>
    <row r="102" spans="3:49" x14ac:dyDescent="0.25">
      <c r="C102" s="409"/>
      <c r="D102" s="409"/>
      <c r="E102" s="409"/>
      <c r="F102" s="409"/>
      <c r="G102" s="409"/>
      <c r="H102" s="409"/>
      <c r="I102" s="409"/>
      <c r="J102" s="409"/>
      <c r="K102" s="409"/>
      <c r="L102" s="409"/>
      <c r="M102" s="692"/>
      <c r="N102" s="409"/>
      <c r="O102" s="409"/>
      <c r="P102" s="409"/>
      <c r="Q102" s="409"/>
      <c r="R102" s="409"/>
      <c r="S102" s="409"/>
      <c r="T102" s="409"/>
      <c r="U102" s="409"/>
      <c r="V102" s="409"/>
      <c r="W102" s="409"/>
      <c r="X102" s="409"/>
      <c r="Y102" s="409"/>
      <c r="Z102" s="409"/>
      <c r="AR102" s="981"/>
      <c r="AS102" s="1096"/>
      <c r="AT102" s="984"/>
      <c r="AU102" s="981"/>
      <c r="AV102" s="981"/>
      <c r="AW102" s="981"/>
    </row>
    <row r="103" spans="3:49" x14ac:dyDescent="0.25">
      <c r="C103" s="409"/>
      <c r="D103" s="409"/>
      <c r="E103" s="409"/>
      <c r="F103" s="409"/>
      <c r="G103" s="409"/>
      <c r="H103" s="409"/>
      <c r="I103" s="409"/>
      <c r="J103" s="409"/>
      <c r="K103" s="409"/>
      <c r="L103" s="409"/>
      <c r="M103" s="692"/>
      <c r="N103" s="409"/>
      <c r="O103" s="409"/>
      <c r="P103" s="409"/>
      <c r="Q103" s="409"/>
      <c r="R103" s="409"/>
      <c r="S103" s="409"/>
      <c r="T103" s="409"/>
      <c r="U103" s="409"/>
      <c r="V103" s="409"/>
      <c r="W103" s="409"/>
      <c r="X103" s="409"/>
      <c r="Y103" s="409"/>
      <c r="Z103" s="409"/>
      <c r="AR103" s="981"/>
      <c r="AS103" s="1094"/>
      <c r="AT103" s="1095"/>
      <c r="AU103" s="981"/>
      <c r="AV103" s="981"/>
      <c r="AW103" s="981"/>
    </row>
    <row r="104" spans="3:49" x14ac:dyDescent="0.25">
      <c r="C104" s="409"/>
      <c r="D104" s="409"/>
      <c r="E104" s="409"/>
      <c r="F104" s="409"/>
      <c r="G104" s="409"/>
      <c r="H104" s="409"/>
      <c r="I104" s="409"/>
      <c r="J104" s="409"/>
      <c r="K104" s="409"/>
      <c r="L104" s="409"/>
      <c r="M104" s="692"/>
      <c r="N104" s="409"/>
      <c r="O104" s="409"/>
      <c r="P104" s="409"/>
      <c r="Q104" s="409"/>
      <c r="R104" s="409"/>
      <c r="S104" s="409"/>
      <c r="T104" s="409"/>
      <c r="U104" s="409"/>
      <c r="V104" s="409"/>
      <c r="W104" s="409"/>
      <c r="X104" s="409"/>
      <c r="Y104" s="409"/>
      <c r="Z104" s="409"/>
      <c r="AR104" s="981"/>
      <c r="AS104" s="1093"/>
      <c r="AT104" s="1092"/>
      <c r="AU104" s="1092"/>
      <c r="AV104" s="1092"/>
      <c r="AW104" s="1092"/>
    </row>
    <row r="105" spans="3:49" x14ac:dyDescent="0.25">
      <c r="C105" s="409"/>
      <c r="D105" s="409"/>
      <c r="E105" s="409"/>
      <c r="F105" s="409"/>
      <c r="G105" s="409"/>
      <c r="H105" s="409"/>
      <c r="I105" s="409"/>
      <c r="J105" s="409"/>
      <c r="K105" s="409"/>
      <c r="L105" s="409"/>
      <c r="M105" s="692"/>
      <c r="N105" s="409"/>
      <c r="O105" s="409"/>
      <c r="P105" s="409"/>
      <c r="Q105" s="409"/>
      <c r="R105" s="409"/>
      <c r="S105" s="409"/>
      <c r="T105" s="409"/>
      <c r="U105" s="409"/>
      <c r="V105" s="409"/>
      <c r="W105" s="409"/>
      <c r="X105" s="409"/>
      <c r="Y105" s="409"/>
      <c r="Z105" s="409"/>
      <c r="AR105" s="981"/>
      <c r="AS105" s="1093"/>
      <c r="AT105" s="1097"/>
      <c r="AU105" s="981"/>
      <c r="AV105" s="1097"/>
      <c r="AW105" s="981"/>
    </row>
    <row r="106" spans="3:49" x14ac:dyDescent="0.25">
      <c r="C106" s="409"/>
      <c r="D106" s="409"/>
      <c r="E106" s="409"/>
      <c r="F106" s="409"/>
      <c r="G106" s="409"/>
      <c r="H106" s="409"/>
      <c r="I106" s="409"/>
      <c r="J106" s="409"/>
      <c r="K106" s="409"/>
      <c r="L106" s="409"/>
      <c r="M106" s="692"/>
      <c r="N106" s="409"/>
      <c r="O106" s="409"/>
      <c r="P106" s="409"/>
      <c r="Q106" s="409"/>
      <c r="R106" s="409"/>
      <c r="S106" s="409"/>
      <c r="T106" s="409"/>
      <c r="U106" s="409"/>
      <c r="V106" s="409"/>
      <c r="W106" s="409"/>
      <c r="X106" s="409"/>
      <c r="Y106" s="409"/>
      <c r="Z106" s="409"/>
      <c r="AR106" s="981"/>
      <c r="AS106" s="1093"/>
      <c r="AT106" s="1093"/>
      <c r="AU106" s="981"/>
      <c r="AV106" s="1093"/>
      <c r="AW106" s="981"/>
    </row>
    <row r="107" spans="3:49" x14ac:dyDescent="0.25">
      <c r="C107" s="409"/>
      <c r="D107" s="409"/>
      <c r="E107" s="409"/>
      <c r="F107" s="409"/>
      <c r="G107" s="409"/>
      <c r="H107" s="409"/>
      <c r="I107" s="409"/>
      <c r="J107" s="409"/>
      <c r="K107" s="409"/>
      <c r="L107" s="409"/>
      <c r="M107" s="692"/>
      <c r="N107" s="409"/>
      <c r="O107" s="409"/>
      <c r="P107" s="409"/>
      <c r="Q107" s="409"/>
      <c r="R107" s="409"/>
      <c r="S107" s="409"/>
      <c r="T107" s="409"/>
      <c r="U107" s="409"/>
      <c r="V107" s="409"/>
      <c r="W107" s="409"/>
      <c r="X107" s="409"/>
      <c r="Y107" s="409"/>
      <c r="Z107" s="409"/>
      <c r="AR107" s="981"/>
      <c r="AS107" s="1094"/>
      <c r="AT107" s="1094"/>
      <c r="AU107" s="981"/>
      <c r="AV107" s="1094"/>
      <c r="AW107" s="981"/>
    </row>
    <row r="108" spans="3:49" x14ac:dyDescent="0.25">
      <c r="C108" s="409"/>
      <c r="D108" s="409"/>
      <c r="E108" s="409"/>
      <c r="F108" s="409"/>
      <c r="G108" s="409"/>
      <c r="H108" s="409"/>
      <c r="I108" s="409"/>
      <c r="J108" s="409"/>
      <c r="K108" s="409"/>
      <c r="L108" s="409"/>
      <c r="M108" s="692"/>
      <c r="N108" s="409"/>
      <c r="O108" s="409"/>
      <c r="P108" s="409"/>
      <c r="Q108" s="409"/>
      <c r="R108" s="409"/>
      <c r="S108" s="409"/>
      <c r="T108" s="409"/>
      <c r="U108" s="409"/>
      <c r="V108" s="409"/>
      <c r="W108" s="409"/>
      <c r="X108" s="409"/>
      <c r="Y108" s="409"/>
      <c r="Z108" s="409"/>
      <c r="AR108" s="981"/>
      <c r="AS108" s="1097"/>
      <c r="AT108" s="1097"/>
      <c r="AU108" s="1098"/>
      <c r="AV108" s="1098"/>
      <c r="AW108" s="981"/>
    </row>
    <row r="109" spans="3:49" x14ac:dyDescent="0.25">
      <c r="C109" s="409"/>
      <c r="D109" s="409"/>
      <c r="E109" s="409"/>
      <c r="F109" s="409"/>
      <c r="G109" s="409"/>
      <c r="H109" s="409"/>
      <c r="I109" s="409"/>
      <c r="J109" s="409"/>
      <c r="K109" s="409"/>
      <c r="L109" s="409"/>
      <c r="M109" s="692"/>
      <c r="N109" s="409"/>
      <c r="O109" s="409"/>
      <c r="P109" s="409"/>
      <c r="Q109" s="409"/>
      <c r="R109" s="409"/>
      <c r="S109" s="409"/>
      <c r="T109" s="409"/>
      <c r="U109" s="409"/>
      <c r="V109" s="409"/>
      <c r="W109" s="409"/>
      <c r="X109" s="409"/>
      <c r="Y109" s="409"/>
      <c r="Z109" s="409"/>
      <c r="AR109" s="981"/>
      <c r="AS109" s="1095"/>
      <c r="AT109" s="1095"/>
      <c r="AU109" s="1099"/>
      <c r="AV109" s="1095"/>
      <c r="AW109" s="981"/>
    </row>
    <row r="110" spans="3:49" x14ac:dyDescent="0.25">
      <c r="C110" s="409"/>
      <c r="D110" s="409"/>
      <c r="E110" s="409"/>
      <c r="F110" s="409"/>
      <c r="G110" s="409"/>
      <c r="H110" s="409"/>
      <c r="I110" s="409"/>
      <c r="J110" s="409"/>
      <c r="K110" s="409"/>
      <c r="L110" s="409"/>
      <c r="M110" s="692"/>
      <c r="N110" s="409"/>
      <c r="O110" s="409"/>
      <c r="P110" s="409"/>
      <c r="Q110" s="409"/>
      <c r="R110" s="409"/>
      <c r="S110" s="409"/>
      <c r="T110" s="409"/>
      <c r="U110" s="409"/>
      <c r="V110" s="409"/>
      <c r="W110" s="409"/>
      <c r="X110" s="409"/>
      <c r="Y110" s="409"/>
      <c r="Z110" s="409"/>
      <c r="AR110" s="981"/>
      <c r="AS110" s="981"/>
      <c r="AT110" s="981"/>
      <c r="AU110" s="981"/>
      <c r="AV110" s="1100"/>
      <c r="AW110" s="981"/>
    </row>
    <row r="111" spans="3:49" x14ac:dyDescent="0.25">
      <c r="C111" s="409"/>
      <c r="D111" s="409"/>
      <c r="E111" s="409"/>
      <c r="F111" s="409"/>
      <c r="G111" s="409"/>
      <c r="H111" s="409"/>
      <c r="I111" s="409"/>
      <c r="J111" s="409"/>
      <c r="K111" s="409"/>
      <c r="L111" s="409"/>
      <c r="M111" s="692"/>
      <c r="N111" s="409"/>
      <c r="O111" s="409"/>
      <c r="P111" s="409"/>
      <c r="Q111" s="409"/>
      <c r="R111" s="409"/>
      <c r="S111" s="409"/>
      <c r="T111" s="409"/>
      <c r="U111" s="409"/>
      <c r="V111" s="409"/>
      <c r="W111" s="409"/>
      <c r="X111" s="409"/>
      <c r="Y111" s="409"/>
      <c r="Z111" s="409"/>
      <c r="AR111" s="981"/>
      <c r="AS111" s="981"/>
      <c r="AT111" s="981"/>
      <c r="AU111" s="981"/>
      <c r="AV111" s="1100"/>
      <c r="AW111" s="981"/>
    </row>
    <row r="112" spans="3:49" x14ac:dyDescent="0.25">
      <c r="C112" s="409"/>
      <c r="D112" s="409"/>
      <c r="E112" s="409"/>
      <c r="F112" s="409"/>
      <c r="G112" s="409"/>
      <c r="H112" s="409"/>
      <c r="I112" s="409"/>
      <c r="J112" s="409"/>
      <c r="K112" s="409"/>
      <c r="L112" s="409"/>
      <c r="M112" s="692"/>
      <c r="N112" s="409"/>
      <c r="O112" s="409"/>
      <c r="P112" s="409"/>
      <c r="Q112" s="409"/>
      <c r="R112" s="409"/>
      <c r="S112" s="409"/>
      <c r="T112" s="409"/>
      <c r="U112" s="409"/>
      <c r="V112" s="409"/>
      <c r="W112" s="409"/>
      <c r="X112" s="409"/>
      <c r="Y112" s="409"/>
      <c r="Z112" s="409"/>
      <c r="AR112" s="981"/>
      <c r="AS112" s="981"/>
      <c r="AT112" s="981"/>
      <c r="AU112" s="981"/>
      <c r="AV112" s="1100"/>
      <c r="AW112" s="981"/>
    </row>
    <row r="113" spans="3:49" x14ac:dyDescent="0.25">
      <c r="C113" s="409"/>
      <c r="D113" s="409"/>
      <c r="E113" s="409"/>
      <c r="F113" s="409"/>
      <c r="G113" s="409"/>
      <c r="H113" s="409"/>
      <c r="I113" s="409"/>
      <c r="J113" s="409"/>
      <c r="K113" s="409"/>
      <c r="L113" s="409"/>
      <c r="M113" s="692"/>
      <c r="N113" s="409"/>
      <c r="O113" s="409"/>
      <c r="P113" s="409"/>
      <c r="Q113" s="409"/>
      <c r="R113" s="409"/>
      <c r="S113" s="409"/>
      <c r="T113" s="409"/>
      <c r="U113" s="409"/>
      <c r="V113" s="409"/>
      <c r="W113" s="409"/>
      <c r="X113" s="409"/>
      <c r="Y113" s="409"/>
      <c r="Z113" s="409"/>
      <c r="AR113" s="981"/>
      <c r="AS113" s="1099"/>
      <c r="AT113" s="1099"/>
      <c r="AU113" s="1101"/>
      <c r="AV113" s="1099"/>
      <c r="AW113" s="1101"/>
    </row>
    <row r="114" spans="3:49" x14ac:dyDescent="0.25">
      <c r="C114" s="409"/>
      <c r="D114" s="409"/>
      <c r="E114" s="409"/>
      <c r="F114" s="409"/>
      <c r="G114" s="409"/>
      <c r="H114" s="409"/>
      <c r="I114" s="409"/>
      <c r="J114" s="409"/>
      <c r="K114" s="409"/>
      <c r="L114" s="409"/>
      <c r="M114" s="692"/>
      <c r="N114" s="409"/>
      <c r="O114" s="409"/>
      <c r="P114" s="409"/>
      <c r="Q114" s="409"/>
      <c r="R114" s="409"/>
      <c r="S114" s="409"/>
      <c r="T114" s="409"/>
      <c r="U114" s="409"/>
      <c r="V114" s="409"/>
      <c r="W114" s="409"/>
      <c r="X114" s="409"/>
      <c r="Y114" s="409"/>
      <c r="Z114" s="409"/>
      <c r="AR114" s="981"/>
      <c r="AS114" s="1099"/>
      <c r="AT114" s="1099"/>
      <c r="AU114" s="1101"/>
      <c r="AV114" s="1099"/>
      <c r="AW114" s="1101"/>
    </row>
    <row r="115" spans="3:49" x14ac:dyDescent="0.25">
      <c r="C115" s="409"/>
      <c r="D115" s="409"/>
      <c r="E115" s="409"/>
      <c r="F115" s="409"/>
      <c r="G115" s="409"/>
      <c r="H115" s="409"/>
      <c r="I115" s="409"/>
      <c r="J115" s="409"/>
      <c r="K115" s="409"/>
      <c r="L115" s="409"/>
      <c r="M115" s="692"/>
      <c r="N115" s="409"/>
      <c r="O115" s="409"/>
      <c r="P115" s="409"/>
      <c r="Q115" s="409"/>
      <c r="R115" s="409"/>
      <c r="S115" s="409"/>
      <c r="T115" s="409"/>
      <c r="U115" s="409"/>
      <c r="V115" s="409"/>
      <c r="W115" s="409"/>
      <c r="X115" s="409"/>
      <c r="Y115" s="409"/>
      <c r="Z115" s="409"/>
      <c r="AR115" s="981"/>
      <c r="AS115" s="1099"/>
      <c r="AT115" s="1099"/>
      <c r="AU115" s="1101"/>
      <c r="AV115" s="1099"/>
      <c r="AW115" s="1101"/>
    </row>
    <row r="116" spans="3:49" x14ac:dyDescent="0.25">
      <c r="C116" s="409"/>
      <c r="D116" s="409"/>
      <c r="E116" s="409"/>
      <c r="F116" s="409"/>
      <c r="G116" s="409"/>
      <c r="H116" s="409"/>
      <c r="I116" s="409"/>
      <c r="J116" s="409"/>
      <c r="K116" s="409"/>
      <c r="L116" s="409"/>
      <c r="M116" s="692"/>
      <c r="N116" s="409"/>
      <c r="O116" s="409"/>
      <c r="P116" s="409"/>
      <c r="Q116" s="409"/>
      <c r="R116" s="409"/>
      <c r="S116" s="409"/>
      <c r="T116" s="409"/>
      <c r="U116" s="409"/>
      <c r="V116" s="409"/>
      <c r="W116" s="409"/>
      <c r="X116" s="409"/>
      <c r="Y116" s="409"/>
      <c r="Z116" s="409"/>
      <c r="AR116" s="981"/>
      <c r="AS116" s="981"/>
      <c r="AT116" s="981"/>
      <c r="AU116" s="981"/>
      <c r="AV116" s="981"/>
      <c r="AW116" s="981"/>
    </row>
    <row r="117" spans="3:49" x14ac:dyDescent="0.25">
      <c r="C117" s="409"/>
      <c r="D117" s="409"/>
      <c r="E117" s="409"/>
      <c r="F117" s="409"/>
      <c r="G117" s="409"/>
      <c r="H117" s="409"/>
      <c r="I117" s="409"/>
      <c r="J117" s="409"/>
      <c r="K117" s="409"/>
      <c r="L117" s="409"/>
      <c r="M117" s="692"/>
      <c r="N117" s="409"/>
      <c r="O117" s="409"/>
      <c r="P117" s="409"/>
      <c r="Q117" s="409"/>
      <c r="R117" s="409"/>
      <c r="S117" s="409"/>
      <c r="T117" s="409"/>
      <c r="U117" s="409"/>
      <c r="V117" s="409"/>
      <c r="W117" s="409"/>
      <c r="X117" s="409"/>
      <c r="Y117" s="409"/>
      <c r="Z117" s="409"/>
      <c r="AR117" s="981"/>
      <c r="AS117" s="981"/>
      <c r="AT117" s="981"/>
      <c r="AU117" s="981"/>
      <c r="AV117" s="981"/>
      <c r="AW117" s="981"/>
    </row>
    <row r="118" spans="3:49" hidden="1" x14ac:dyDescent="0.25">
      <c r="C118" s="409"/>
      <c r="D118" s="409"/>
      <c r="E118" s="409"/>
      <c r="F118" s="409"/>
      <c r="G118" s="409"/>
      <c r="H118" s="409"/>
      <c r="I118" s="409"/>
      <c r="J118" s="409"/>
      <c r="K118" s="409"/>
      <c r="L118" s="409"/>
      <c r="M118" s="692"/>
      <c r="N118" s="409"/>
      <c r="O118" s="409"/>
      <c r="P118" s="409"/>
      <c r="Q118" s="409"/>
      <c r="R118" s="409"/>
      <c r="S118" s="409"/>
      <c r="T118" s="409"/>
      <c r="U118" s="409"/>
      <c r="V118" s="409"/>
      <c r="W118" s="409"/>
      <c r="X118" s="409"/>
      <c r="Y118" s="409"/>
      <c r="Z118" s="409"/>
      <c r="AR118" s="981"/>
      <c r="AS118" s="981"/>
      <c r="AT118" s="981"/>
      <c r="AU118" s="981"/>
      <c r="AV118" s="981"/>
      <c r="AW118" s="981"/>
    </row>
    <row r="119" spans="3:49" hidden="1" x14ac:dyDescent="0.25">
      <c r="C119" s="409"/>
      <c r="D119" s="409"/>
      <c r="E119" s="409"/>
      <c r="F119" s="409"/>
      <c r="G119" s="409"/>
      <c r="H119" s="409"/>
      <c r="I119" s="409"/>
      <c r="J119" s="409"/>
      <c r="K119" s="409"/>
      <c r="L119" s="409"/>
      <c r="M119" s="692"/>
      <c r="N119" s="409"/>
      <c r="O119" s="409"/>
      <c r="P119" s="409"/>
      <c r="Q119" s="409"/>
      <c r="R119" s="409"/>
      <c r="S119" s="409"/>
      <c r="T119" s="409"/>
      <c r="U119" s="409"/>
      <c r="V119" s="409"/>
      <c r="W119" s="409"/>
      <c r="X119" s="409"/>
      <c r="Y119" s="409"/>
      <c r="Z119" s="409"/>
      <c r="AR119" s="981"/>
      <c r="AS119" s="981"/>
      <c r="AT119" s="981"/>
      <c r="AU119" s="981"/>
      <c r="AV119" s="981"/>
      <c r="AW119" s="981"/>
    </row>
    <row r="120" spans="3:49" hidden="1" x14ac:dyDescent="0.25">
      <c r="C120" s="409"/>
      <c r="D120" s="409"/>
      <c r="E120" s="409"/>
      <c r="F120" s="409"/>
      <c r="G120" s="409"/>
      <c r="H120" s="409"/>
      <c r="I120" s="409"/>
      <c r="J120" s="409"/>
      <c r="K120" s="409"/>
      <c r="L120" s="409"/>
      <c r="M120" s="692"/>
      <c r="N120" s="409"/>
      <c r="O120" s="409"/>
      <c r="P120" s="409"/>
      <c r="Q120" s="409"/>
      <c r="R120" s="409"/>
      <c r="S120" s="409"/>
      <c r="T120" s="409"/>
      <c r="U120" s="409"/>
      <c r="V120" s="409"/>
      <c r="W120" s="409"/>
      <c r="X120" s="409"/>
      <c r="Y120" s="409"/>
      <c r="Z120" s="409"/>
      <c r="AR120" s="981"/>
      <c r="AS120" s="981"/>
      <c r="AT120" s="981"/>
      <c r="AU120" s="981"/>
      <c r="AV120" s="981"/>
      <c r="AW120" s="981"/>
    </row>
    <row r="121" spans="3:49" hidden="1" x14ac:dyDescent="0.25">
      <c r="C121" s="409"/>
      <c r="D121" s="409"/>
      <c r="E121" s="409"/>
      <c r="F121" s="409"/>
      <c r="G121" s="409"/>
      <c r="H121" s="409"/>
      <c r="I121" s="409"/>
      <c r="J121" s="409"/>
      <c r="K121" s="409"/>
      <c r="L121" s="409"/>
      <c r="M121" s="692"/>
      <c r="N121" s="409"/>
      <c r="O121" s="409"/>
      <c r="P121" s="409"/>
      <c r="Q121" s="409"/>
      <c r="R121" s="409"/>
      <c r="S121" s="409"/>
      <c r="T121" s="409"/>
      <c r="U121" s="409"/>
      <c r="V121" s="409"/>
      <c r="W121" s="409"/>
      <c r="X121" s="409"/>
      <c r="Y121" s="409"/>
      <c r="Z121" s="409"/>
      <c r="AR121" s="981"/>
      <c r="AS121" s="1099"/>
      <c r="AT121" s="1099"/>
      <c r="AU121" s="1101"/>
      <c r="AV121" s="981"/>
      <c r="AW121" s="981"/>
    </row>
    <row r="122" spans="3:49" x14ac:dyDescent="0.25">
      <c r="C122" s="409"/>
      <c r="D122" s="409"/>
      <c r="E122" s="409"/>
      <c r="F122" s="409"/>
      <c r="G122" s="409"/>
      <c r="H122" s="409"/>
      <c r="I122" s="409"/>
      <c r="J122" s="409"/>
      <c r="K122" s="409"/>
      <c r="L122" s="409"/>
      <c r="M122" s="692"/>
      <c r="N122" s="409"/>
      <c r="O122" s="409"/>
      <c r="P122" s="409"/>
      <c r="Q122" s="409"/>
      <c r="R122" s="409"/>
      <c r="S122" s="409"/>
      <c r="T122" s="409"/>
      <c r="U122" s="409"/>
      <c r="V122" s="409"/>
      <c r="W122" s="409"/>
      <c r="X122" s="409"/>
      <c r="Y122" s="409"/>
      <c r="Z122" s="409"/>
      <c r="AR122" s="981"/>
      <c r="AS122" s="1099"/>
      <c r="AT122" s="1099"/>
      <c r="AU122" s="1101"/>
      <c r="AV122" s="981"/>
      <c r="AW122" s="981"/>
    </row>
    <row r="123" spans="3:49" x14ac:dyDescent="0.25">
      <c r="C123" s="409"/>
      <c r="D123" s="409"/>
      <c r="E123" s="409"/>
      <c r="F123" s="409"/>
      <c r="G123" s="409"/>
      <c r="H123" s="409"/>
      <c r="I123" s="409"/>
      <c r="J123" s="409"/>
      <c r="K123" s="409"/>
      <c r="L123" s="409"/>
      <c r="M123" s="692"/>
      <c r="N123" s="409"/>
      <c r="O123" s="409"/>
      <c r="P123" s="409"/>
      <c r="Q123" s="409"/>
      <c r="R123" s="409"/>
      <c r="S123" s="409"/>
      <c r="T123" s="409"/>
      <c r="U123" s="409"/>
      <c r="V123" s="409"/>
      <c r="W123" s="409"/>
      <c r="X123" s="409"/>
      <c r="Y123" s="409"/>
      <c r="Z123" s="409"/>
      <c r="AR123" s="981"/>
      <c r="AS123" s="981"/>
      <c r="AT123" s="981"/>
      <c r="AU123" s="1101"/>
      <c r="AV123" s="981"/>
      <c r="AW123" s="981"/>
    </row>
    <row r="124" spans="3:49" x14ac:dyDescent="0.25">
      <c r="C124" s="409"/>
      <c r="D124" s="409"/>
      <c r="E124" s="409"/>
      <c r="F124" s="409"/>
      <c r="G124" s="409"/>
      <c r="H124" s="409"/>
      <c r="I124" s="409"/>
      <c r="J124" s="409"/>
      <c r="K124" s="409"/>
      <c r="L124" s="409"/>
      <c r="M124" s="692"/>
      <c r="N124" s="409"/>
      <c r="O124" s="409"/>
      <c r="P124" s="409"/>
      <c r="Q124" s="409"/>
      <c r="R124" s="409"/>
      <c r="S124" s="409"/>
      <c r="T124" s="409"/>
      <c r="U124" s="409"/>
      <c r="V124" s="409"/>
      <c r="W124" s="409"/>
      <c r="X124" s="409"/>
      <c r="Y124" s="409"/>
      <c r="Z124" s="409"/>
      <c r="AR124" s="981"/>
      <c r="AS124" s="981"/>
      <c r="AT124" s="981"/>
      <c r="AU124" s="984"/>
      <c r="AV124" s="981"/>
      <c r="AW124" s="981"/>
    </row>
    <row r="125" spans="3:49" x14ac:dyDescent="0.25">
      <c r="C125" s="409"/>
      <c r="D125" s="409"/>
      <c r="E125" s="409"/>
      <c r="F125" s="409"/>
      <c r="G125" s="409"/>
      <c r="H125" s="409"/>
      <c r="I125" s="409"/>
      <c r="J125" s="409"/>
      <c r="K125" s="409"/>
      <c r="L125" s="409"/>
      <c r="M125" s="692"/>
      <c r="N125" s="409"/>
      <c r="O125" s="409"/>
      <c r="P125" s="409"/>
      <c r="Q125" s="409"/>
      <c r="R125" s="409"/>
      <c r="S125" s="409"/>
      <c r="T125" s="409"/>
      <c r="U125" s="409"/>
      <c r="V125" s="409"/>
      <c r="W125" s="409"/>
      <c r="X125" s="409"/>
      <c r="Y125" s="409"/>
      <c r="Z125" s="409"/>
      <c r="AR125" s="981"/>
      <c r="AS125" s="981"/>
      <c r="AT125" s="981"/>
      <c r="AU125" s="984"/>
      <c r="AV125" s="981"/>
      <c r="AW125" s="981"/>
    </row>
    <row r="126" spans="3:49" x14ac:dyDescent="0.25">
      <c r="C126" s="409"/>
      <c r="D126" s="409"/>
      <c r="E126" s="409"/>
      <c r="F126" s="409"/>
      <c r="G126" s="409"/>
      <c r="H126" s="409"/>
      <c r="I126" s="409"/>
      <c r="J126" s="409"/>
      <c r="K126" s="409"/>
      <c r="L126" s="409"/>
      <c r="M126" s="692"/>
      <c r="N126" s="409"/>
      <c r="O126" s="409"/>
      <c r="P126" s="409"/>
      <c r="Q126" s="409"/>
      <c r="R126" s="409"/>
      <c r="S126" s="409"/>
      <c r="T126" s="409"/>
      <c r="U126" s="409"/>
      <c r="V126" s="409"/>
      <c r="W126" s="409"/>
      <c r="X126" s="409"/>
      <c r="Y126" s="409"/>
      <c r="Z126" s="409"/>
      <c r="AR126" s="981"/>
      <c r="AS126" s="981"/>
      <c r="AT126" s="981"/>
      <c r="AU126" s="984"/>
      <c r="AV126" s="981"/>
      <c r="AW126" s="981"/>
    </row>
    <row r="127" spans="3:49" x14ac:dyDescent="0.25">
      <c r="C127" s="409"/>
      <c r="D127" s="409"/>
      <c r="E127" s="409"/>
      <c r="F127" s="409"/>
      <c r="G127" s="409"/>
      <c r="H127" s="409"/>
      <c r="I127" s="409"/>
      <c r="J127" s="409"/>
      <c r="K127" s="409"/>
      <c r="L127" s="409"/>
      <c r="M127" s="692"/>
      <c r="N127" s="409"/>
      <c r="O127" s="409"/>
      <c r="P127" s="409"/>
      <c r="Q127" s="409"/>
      <c r="R127" s="409"/>
      <c r="S127" s="409"/>
      <c r="T127" s="409"/>
      <c r="U127" s="409"/>
      <c r="V127" s="409"/>
      <c r="W127" s="409"/>
      <c r="X127" s="409"/>
      <c r="Y127" s="409"/>
      <c r="Z127" s="409"/>
      <c r="AR127" s="981"/>
      <c r="AS127" s="981"/>
      <c r="AT127" s="981"/>
      <c r="AU127" s="984"/>
      <c r="AV127" s="981"/>
      <c r="AW127" s="981"/>
    </row>
    <row r="128" spans="3:49" x14ac:dyDescent="0.25">
      <c r="C128" s="409"/>
      <c r="D128" s="409"/>
      <c r="E128" s="409"/>
      <c r="F128" s="409"/>
      <c r="G128" s="409"/>
      <c r="H128" s="409"/>
      <c r="I128" s="409"/>
      <c r="J128" s="409"/>
      <c r="K128" s="409"/>
      <c r="L128" s="409"/>
      <c r="M128" s="692"/>
      <c r="N128" s="409"/>
      <c r="O128" s="409"/>
      <c r="P128" s="409"/>
      <c r="Q128" s="409"/>
      <c r="R128" s="409"/>
      <c r="S128" s="409"/>
      <c r="T128" s="409"/>
      <c r="U128" s="409"/>
      <c r="V128" s="409"/>
      <c r="W128" s="409"/>
      <c r="X128" s="409"/>
      <c r="Y128" s="409"/>
      <c r="Z128" s="409"/>
      <c r="AR128" s="981"/>
      <c r="AS128" s="1102"/>
      <c r="AT128" s="1102"/>
      <c r="AU128" s="984"/>
      <c r="AV128" s="1102"/>
      <c r="AW128" s="981"/>
    </row>
    <row r="129" spans="3:49" x14ac:dyDescent="0.25">
      <c r="C129" s="409"/>
      <c r="D129" s="409"/>
      <c r="E129" s="409"/>
      <c r="F129" s="409"/>
      <c r="G129" s="409"/>
      <c r="H129" s="409"/>
      <c r="I129" s="409"/>
      <c r="J129" s="409"/>
      <c r="K129" s="409"/>
      <c r="L129" s="409"/>
      <c r="M129" s="692"/>
      <c r="N129" s="409"/>
      <c r="O129" s="409"/>
      <c r="P129" s="409"/>
      <c r="Q129" s="409"/>
      <c r="R129" s="409"/>
      <c r="S129" s="409"/>
      <c r="T129" s="409"/>
      <c r="U129" s="409"/>
      <c r="V129" s="409"/>
      <c r="W129" s="409"/>
      <c r="X129" s="409"/>
      <c r="Y129" s="409"/>
      <c r="Z129" s="409"/>
      <c r="AR129" s="981"/>
      <c r="AS129" s="1102"/>
      <c r="AT129" s="1102"/>
      <c r="AU129" s="984"/>
      <c r="AV129" s="1102"/>
      <c r="AW129" s="981"/>
    </row>
    <row r="130" spans="3:49" x14ac:dyDescent="0.25">
      <c r="C130" s="409"/>
      <c r="D130" s="409"/>
      <c r="E130" s="409"/>
      <c r="F130" s="409"/>
      <c r="G130" s="409"/>
      <c r="H130" s="409"/>
      <c r="I130" s="409"/>
      <c r="J130" s="409"/>
      <c r="K130" s="409"/>
      <c r="L130" s="409"/>
      <c r="M130" s="692"/>
      <c r="N130" s="409"/>
      <c r="O130" s="409"/>
      <c r="P130" s="409"/>
      <c r="Q130" s="409"/>
      <c r="R130" s="409"/>
      <c r="S130" s="409"/>
      <c r="T130" s="409"/>
      <c r="U130" s="409"/>
      <c r="V130" s="409"/>
      <c r="W130" s="409"/>
      <c r="X130" s="409"/>
      <c r="Y130" s="409"/>
      <c r="Z130" s="409"/>
      <c r="AR130" s="981"/>
      <c r="AS130" s="1102"/>
      <c r="AT130" s="1102"/>
      <c r="AU130" s="984"/>
      <c r="AV130" s="1102"/>
      <c r="AW130" s="981"/>
    </row>
    <row r="131" spans="3:49" x14ac:dyDescent="0.25">
      <c r="C131" s="409"/>
      <c r="D131" s="409"/>
      <c r="E131" s="409"/>
      <c r="F131" s="409"/>
      <c r="G131" s="409"/>
      <c r="H131" s="409"/>
      <c r="I131" s="409"/>
      <c r="J131" s="409"/>
      <c r="K131" s="409"/>
      <c r="L131" s="409"/>
      <c r="M131" s="692"/>
      <c r="N131" s="409"/>
      <c r="O131" s="409"/>
      <c r="P131" s="409"/>
      <c r="Q131" s="409"/>
      <c r="R131" s="409"/>
      <c r="S131" s="409"/>
      <c r="T131" s="409"/>
      <c r="U131" s="409"/>
      <c r="V131" s="409"/>
      <c r="W131" s="409"/>
      <c r="X131" s="409"/>
      <c r="Y131" s="409"/>
      <c r="Z131" s="409"/>
      <c r="AR131" s="981"/>
      <c r="AS131" s="981"/>
      <c r="AT131" s="981"/>
      <c r="AU131" s="984"/>
      <c r="AV131" s="1102"/>
      <c r="AW131" s="981"/>
    </row>
    <row r="132" spans="3:49" x14ac:dyDescent="0.25">
      <c r="C132" s="409"/>
      <c r="D132" s="409"/>
      <c r="E132" s="409"/>
      <c r="F132" s="409"/>
      <c r="G132" s="409"/>
      <c r="H132" s="409"/>
      <c r="I132" s="409"/>
      <c r="J132" s="409"/>
      <c r="K132" s="409"/>
      <c r="L132" s="409"/>
      <c r="M132" s="692"/>
      <c r="N132" s="409"/>
      <c r="O132" s="409"/>
      <c r="P132" s="409"/>
      <c r="Q132" s="409"/>
      <c r="R132" s="409"/>
      <c r="S132" s="409"/>
      <c r="T132" s="409"/>
      <c r="U132" s="409"/>
      <c r="V132" s="409"/>
      <c r="W132" s="409"/>
      <c r="X132" s="409"/>
      <c r="Y132" s="409"/>
      <c r="Z132" s="409"/>
      <c r="AR132" s="981"/>
      <c r="AS132" s="1102"/>
      <c r="AT132" s="1102"/>
      <c r="AU132" s="984"/>
      <c r="AV132" s="1102"/>
      <c r="AW132" s="981"/>
    </row>
    <row r="133" spans="3:49" x14ac:dyDescent="0.25">
      <c r="C133" s="409"/>
      <c r="D133" s="409"/>
      <c r="E133" s="409"/>
      <c r="F133" s="409"/>
      <c r="G133" s="409"/>
      <c r="H133" s="409"/>
      <c r="I133" s="409"/>
      <c r="J133" s="409"/>
      <c r="K133" s="409"/>
      <c r="L133" s="409"/>
      <c r="M133" s="692"/>
      <c r="N133" s="409"/>
      <c r="O133" s="409"/>
      <c r="P133" s="409"/>
      <c r="Q133" s="409"/>
      <c r="R133" s="409"/>
      <c r="S133" s="409"/>
      <c r="T133" s="409"/>
      <c r="U133" s="409"/>
      <c r="V133" s="409"/>
      <c r="W133" s="409"/>
      <c r="X133" s="409"/>
      <c r="Y133" s="409"/>
      <c r="Z133" s="409"/>
      <c r="AR133" s="981"/>
      <c r="AS133" s="1102"/>
      <c r="AT133" s="1102"/>
      <c r="AU133" s="1101"/>
      <c r="AV133" s="1102"/>
      <c r="AW133" s="981"/>
    </row>
  </sheetData>
  <sheetProtection sheet="1" objects="1" scenarios="1"/>
  <conditionalFormatting sqref="C71">
    <cfRule type="expression" dxfId="6" priority="6763">
      <formula>#REF!&gt;#REF!</formula>
    </cfRule>
  </conditionalFormatting>
  <conditionalFormatting sqref="C72">
    <cfRule type="expression" dxfId="5" priority="6898">
      <formula>$C$51*#REF!&gt;$E$51*#REF!</formula>
    </cfRule>
  </conditionalFormatting>
  <conditionalFormatting sqref="Y71">
    <cfRule type="expression" dxfId="4" priority="6741">
      <formula>$Z$57&gt;$Z$58</formula>
    </cfRule>
  </conditionalFormatting>
  <conditionalFormatting sqref="AU70">
    <cfRule type="expression" dxfId="3" priority="6759">
      <formula>$AV$58&gt;$AV$61</formula>
    </cfRule>
  </conditionalFormatting>
  <pageMargins left="0.7" right="0.7" top="0.75" bottom="0.75" header="0.3" footer="0.3"/>
  <pageSetup orientation="portrait" horizontalDpi="0" verticalDpi="0"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B1:N159"/>
  <sheetViews>
    <sheetView workbookViewId="0"/>
  </sheetViews>
  <sheetFormatPr defaultColWidth="9.7109375" defaultRowHeight="15" x14ac:dyDescent="0.25"/>
  <cols>
    <col min="1" max="1" width="2.7109375" customWidth="1"/>
    <col min="2" max="2" width="69.7109375" customWidth="1"/>
    <col min="3" max="4" width="15.7109375" customWidth="1"/>
    <col min="5" max="5" width="48.140625" customWidth="1"/>
    <col min="6" max="7" width="13.7109375" customWidth="1"/>
    <col min="8" max="11" width="25.85546875" customWidth="1"/>
    <col min="12" max="14" width="13.7109375" customWidth="1"/>
  </cols>
  <sheetData>
    <row r="1" spans="2:11" ht="15.75" thickBot="1" x14ac:dyDescent="0.3">
      <c r="D1" s="35"/>
    </row>
    <row r="2" spans="2:11" ht="30" customHeight="1" thickBot="1" x14ac:dyDescent="0.3">
      <c r="B2" s="55" t="s">
        <v>148</v>
      </c>
      <c r="C2" s="38"/>
      <c r="D2" s="56"/>
      <c r="E2" s="39"/>
      <c r="G2" s="209"/>
      <c r="H2" s="209"/>
      <c r="I2" s="209"/>
      <c r="J2" s="209"/>
      <c r="K2" s="209"/>
    </row>
    <row r="3" spans="2:11" ht="18.75" thickBot="1" x14ac:dyDescent="0.3">
      <c r="B3" s="57" t="s">
        <v>266</v>
      </c>
      <c r="C3" s="58"/>
      <c r="D3" s="59"/>
      <c r="E3" s="66"/>
      <c r="G3" s="209"/>
      <c r="H3" s="209"/>
      <c r="I3" s="209"/>
      <c r="J3" s="209"/>
      <c r="K3" s="209"/>
    </row>
    <row r="4" spans="2:11" ht="15.75" thickBot="1" x14ac:dyDescent="0.3">
      <c r="D4" s="35"/>
    </row>
    <row r="5" spans="2:11" ht="30.75" thickBot="1" x14ac:dyDescent="0.3">
      <c r="B5" s="80" t="str">
        <f>'Financial Inputs'!E34</f>
        <v>Generation Equipment</v>
      </c>
      <c r="C5" s="70" t="s">
        <v>0</v>
      </c>
      <c r="D5" s="71" t="s">
        <v>73</v>
      </c>
      <c r="E5" s="61" t="s">
        <v>120</v>
      </c>
    </row>
    <row r="6" spans="2:11" ht="15.75" x14ac:dyDescent="0.25">
      <c r="B6" s="102" t="s">
        <v>897</v>
      </c>
      <c r="C6" s="370">
        <f>745001.536944766</f>
        <v>745001.53694476595</v>
      </c>
      <c r="D6" s="101">
        <v>1</v>
      </c>
      <c r="E6" s="204" t="s">
        <v>97</v>
      </c>
    </row>
    <row r="7" spans="2:11" ht="15.75" x14ac:dyDescent="0.25">
      <c r="B7" s="102" t="s">
        <v>897</v>
      </c>
      <c r="C7" s="370">
        <v>0</v>
      </c>
      <c r="D7" s="101">
        <v>1</v>
      </c>
      <c r="E7" s="204" t="s">
        <v>15</v>
      </c>
    </row>
    <row r="8" spans="2:11" ht="15.75" x14ac:dyDescent="0.25">
      <c r="B8" s="102" t="s">
        <v>897</v>
      </c>
      <c r="C8" s="370">
        <v>0</v>
      </c>
      <c r="D8" s="101">
        <v>1</v>
      </c>
      <c r="E8" s="204" t="s">
        <v>15</v>
      </c>
    </row>
    <row r="9" spans="2:11" ht="15.75" x14ac:dyDescent="0.25">
      <c r="B9" s="102" t="s">
        <v>897</v>
      </c>
      <c r="C9" s="370">
        <v>0</v>
      </c>
      <c r="D9" s="101">
        <v>1</v>
      </c>
      <c r="E9" s="204" t="s">
        <v>15</v>
      </c>
    </row>
    <row r="10" spans="2:11" ht="15.75" x14ac:dyDescent="0.25">
      <c r="B10" s="102" t="s">
        <v>897</v>
      </c>
      <c r="C10" s="370">
        <v>0</v>
      </c>
      <c r="D10" s="101">
        <v>1</v>
      </c>
      <c r="E10" s="204" t="s">
        <v>15</v>
      </c>
    </row>
    <row r="11" spans="2:11" ht="15.75" x14ac:dyDescent="0.25">
      <c r="B11" s="102" t="s">
        <v>74</v>
      </c>
      <c r="C11" s="370">
        <v>0</v>
      </c>
      <c r="D11" s="101">
        <v>1</v>
      </c>
      <c r="E11" s="204" t="s">
        <v>15</v>
      </c>
    </row>
    <row r="12" spans="2:11" ht="15.75" x14ac:dyDescent="0.25">
      <c r="B12" s="102" t="s">
        <v>74</v>
      </c>
      <c r="C12" s="370">
        <v>0</v>
      </c>
      <c r="D12" s="101">
        <v>1</v>
      </c>
      <c r="E12" s="204" t="s">
        <v>15</v>
      </c>
    </row>
    <row r="13" spans="2:11" ht="15.75" x14ac:dyDescent="0.25">
      <c r="B13" s="102" t="s">
        <v>74</v>
      </c>
      <c r="C13" s="370">
        <v>0</v>
      </c>
      <c r="D13" s="101">
        <v>1</v>
      </c>
      <c r="E13" s="204" t="s">
        <v>15</v>
      </c>
    </row>
    <row r="14" spans="2:11" ht="15.75" x14ac:dyDescent="0.25">
      <c r="B14" s="102" t="s">
        <v>74</v>
      </c>
      <c r="C14" s="370">
        <v>0</v>
      </c>
      <c r="D14" s="101">
        <v>1</v>
      </c>
      <c r="E14" s="204" t="s">
        <v>15</v>
      </c>
    </row>
    <row r="15" spans="2:11" ht="15.75" x14ac:dyDescent="0.25">
      <c r="B15" s="102" t="s">
        <v>74</v>
      </c>
      <c r="C15" s="103">
        <v>0</v>
      </c>
      <c r="D15" s="101">
        <v>1</v>
      </c>
      <c r="E15" s="204" t="s">
        <v>15</v>
      </c>
    </row>
    <row r="16" spans="2:11" ht="15.75" x14ac:dyDescent="0.25">
      <c r="B16" s="102" t="s">
        <v>74</v>
      </c>
      <c r="C16" s="103">
        <v>0</v>
      </c>
      <c r="D16" s="101">
        <v>1</v>
      </c>
      <c r="E16" s="204" t="s">
        <v>15</v>
      </c>
    </row>
    <row r="17" spans="2:5" ht="15.75" x14ac:dyDescent="0.25">
      <c r="B17" s="102" t="s">
        <v>74</v>
      </c>
      <c r="C17" s="103">
        <v>0</v>
      </c>
      <c r="D17" s="101">
        <v>1</v>
      </c>
      <c r="E17" s="204" t="s">
        <v>15</v>
      </c>
    </row>
    <row r="18" spans="2:5" ht="15.75" x14ac:dyDescent="0.25">
      <c r="B18" s="102" t="s">
        <v>74</v>
      </c>
      <c r="C18" s="103">
        <v>0</v>
      </c>
      <c r="D18" s="101">
        <v>1</v>
      </c>
      <c r="E18" s="204" t="s">
        <v>15</v>
      </c>
    </row>
    <row r="19" spans="2:5" ht="15.75" x14ac:dyDescent="0.25">
      <c r="B19" s="102" t="s">
        <v>74</v>
      </c>
      <c r="C19" s="103">
        <v>0</v>
      </c>
      <c r="D19" s="101">
        <v>1</v>
      </c>
      <c r="E19" s="204" t="s">
        <v>15</v>
      </c>
    </row>
    <row r="20" spans="2:5" ht="15.75" x14ac:dyDescent="0.25">
      <c r="B20" s="102" t="s">
        <v>74</v>
      </c>
      <c r="C20" s="103">
        <v>0</v>
      </c>
      <c r="D20" s="101">
        <v>1</v>
      </c>
      <c r="E20" s="204" t="s">
        <v>15</v>
      </c>
    </row>
    <row r="21" spans="2:5" ht="15.75" x14ac:dyDescent="0.25">
      <c r="B21" s="102" t="s">
        <v>74</v>
      </c>
      <c r="C21" s="103">
        <v>0</v>
      </c>
      <c r="D21" s="101">
        <v>1</v>
      </c>
      <c r="E21" s="204" t="s">
        <v>15</v>
      </c>
    </row>
    <row r="22" spans="2:5" ht="15.75" x14ac:dyDescent="0.25">
      <c r="B22" s="102" t="s">
        <v>74</v>
      </c>
      <c r="C22" s="103">
        <v>0</v>
      </c>
      <c r="D22" s="101">
        <v>1</v>
      </c>
      <c r="E22" s="204" t="s">
        <v>15</v>
      </c>
    </row>
    <row r="23" spans="2:5" ht="15.75" x14ac:dyDescent="0.25">
      <c r="B23" s="102" t="s">
        <v>74</v>
      </c>
      <c r="C23" s="103">
        <v>0</v>
      </c>
      <c r="D23" s="101">
        <v>1</v>
      </c>
      <c r="E23" s="204" t="s">
        <v>15</v>
      </c>
    </row>
    <row r="24" spans="2:5" ht="15.75" x14ac:dyDescent="0.25">
      <c r="B24" s="102" t="s">
        <v>74</v>
      </c>
      <c r="C24" s="103">
        <v>0</v>
      </c>
      <c r="D24" s="101">
        <v>1</v>
      </c>
      <c r="E24" s="204" t="s">
        <v>15</v>
      </c>
    </row>
    <row r="25" spans="2:5" ht="16.5" thickBot="1" x14ac:dyDescent="0.3">
      <c r="B25" s="104" t="s">
        <v>74</v>
      </c>
      <c r="C25" s="105">
        <v>0</v>
      </c>
      <c r="D25" s="106">
        <v>1</v>
      </c>
      <c r="E25" s="204" t="s">
        <v>15</v>
      </c>
    </row>
    <row r="26" spans="2:5" ht="30" customHeight="1" thickTop="1" x14ac:dyDescent="0.25">
      <c r="B26" s="67" t="s">
        <v>124</v>
      </c>
      <c r="C26" s="68">
        <f>SUM(C6:C25)</f>
        <v>745001.53694476595</v>
      </c>
      <c r="D26" s="46">
        <f>SUMPRODUCT(C6:C25,D6:D25)/C26</f>
        <v>1</v>
      </c>
      <c r="E26" s="69"/>
    </row>
    <row r="27" spans="2:5" ht="16.5" customHeight="1" x14ac:dyDescent="0.25">
      <c r="B27" s="75"/>
      <c r="C27" s="76"/>
      <c r="D27" s="62"/>
    </row>
    <row r="28" spans="2:5" ht="30" customHeight="1" x14ac:dyDescent="0.25">
      <c r="B28" s="1066" t="s">
        <v>895</v>
      </c>
      <c r="C28" s="76"/>
      <c r="D28" s="62"/>
    </row>
    <row r="29" spans="2:5" ht="16.5" thickBot="1" x14ac:dyDescent="0.3">
      <c r="B29" s="77"/>
      <c r="C29" s="78"/>
      <c r="D29" s="79"/>
      <c r="E29" s="74"/>
    </row>
    <row r="30" spans="2:5" ht="30" customHeight="1" thickBot="1" x14ac:dyDescent="0.3">
      <c r="B30" s="80" t="str">
        <f>'Financial Inputs'!E35</f>
        <v>Balance of Plant</v>
      </c>
      <c r="C30" s="70" t="s">
        <v>0</v>
      </c>
      <c r="D30" s="71" t="s">
        <v>73</v>
      </c>
      <c r="E30" s="61" t="s">
        <v>120</v>
      </c>
    </row>
    <row r="31" spans="2:5" ht="15.75" x14ac:dyDescent="0.25">
      <c r="B31" s="102" t="s">
        <v>897</v>
      </c>
      <c r="C31" s="370">
        <f>2485114.24762811*0.44</f>
        <v>1093450.2689563683</v>
      </c>
      <c r="D31" s="101">
        <v>1</v>
      </c>
      <c r="E31" s="204" t="s">
        <v>15</v>
      </c>
    </row>
    <row r="32" spans="2:5" ht="15.75" x14ac:dyDescent="0.25">
      <c r="B32" s="102" t="s">
        <v>897</v>
      </c>
      <c r="C32" s="370">
        <f>2485114.24762811*0.56</f>
        <v>1391663.9786717417</v>
      </c>
      <c r="D32" s="371">
        <v>1</v>
      </c>
      <c r="E32" s="204" t="s">
        <v>97</v>
      </c>
    </row>
    <row r="33" spans="2:5" ht="15.75" x14ac:dyDescent="0.25">
      <c r="B33" s="102" t="s">
        <v>74</v>
      </c>
      <c r="C33" s="370">
        <v>0</v>
      </c>
      <c r="D33" s="371">
        <v>1</v>
      </c>
      <c r="E33" s="204" t="s">
        <v>97</v>
      </c>
    </row>
    <row r="34" spans="2:5" ht="15.75" x14ac:dyDescent="0.25">
      <c r="B34" s="102" t="s">
        <v>74</v>
      </c>
      <c r="C34" s="370">
        <v>0</v>
      </c>
      <c r="D34" s="371">
        <v>1</v>
      </c>
      <c r="E34" s="204" t="s">
        <v>97</v>
      </c>
    </row>
    <row r="35" spans="2:5" ht="15.75" x14ac:dyDescent="0.25">
      <c r="B35" s="102" t="s">
        <v>74</v>
      </c>
      <c r="C35" s="370">
        <v>0</v>
      </c>
      <c r="D35" s="371">
        <v>1</v>
      </c>
      <c r="E35" s="204" t="s">
        <v>97</v>
      </c>
    </row>
    <row r="36" spans="2:5" ht="15.75" x14ac:dyDescent="0.25">
      <c r="B36" s="102" t="s">
        <v>74</v>
      </c>
      <c r="C36" s="370">
        <v>0</v>
      </c>
      <c r="D36" s="371">
        <v>1</v>
      </c>
      <c r="E36" s="204" t="s">
        <v>97</v>
      </c>
    </row>
    <row r="37" spans="2:5" ht="15.75" x14ac:dyDescent="0.25">
      <c r="B37" s="102" t="s">
        <v>74</v>
      </c>
      <c r="C37" s="370">
        <v>0</v>
      </c>
      <c r="D37" s="371">
        <v>1</v>
      </c>
      <c r="E37" s="204" t="s">
        <v>97</v>
      </c>
    </row>
    <row r="38" spans="2:5" ht="15.75" x14ac:dyDescent="0.25">
      <c r="B38" s="102" t="s">
        <v>74</v>
      </c>
      <c r="C38" s="370">
        <v>0</v>
      </c>
      <c r="D38" s="371">
        <v>1</v>
      </c>
      <c r="E38" s="204" t="s">
        <v>97</v>
      </c>
    </row>
    <row r="39" spans="2:5" ht="15.75" x14ac:dyDescent="0.25">
      <c r="B39" s="102" t="s">
        <v>74</v>
      </c>
      <c r="C39" s="370">
        <v>0</v>
      </c>
      <c r="D39" s="371">
        <v>1</v>
      </c>
      <c r="E39" s="204" t="s">
        <v>97</v>
      </c>
    </row>
    <row r="40" spans="2:5" ht="15.75" x14ac:dyDescent="0.25">
      <c r="B40" s="102" t="s">
        <v>74</v>
      </c>
      <c r="C40" s="370">
        <v>0</v>
      </c>
      <c r="D40" s="371">
        <v>1</v>
      </c>
      <c r="E40" s="204" t="s">
        <v>97</v>
      </c>
    </row>
    <row r="41" spans="2:5" ht="15.75" x14ac:dyDescent="0.25">
      <c r="B41" s="102" t="s">
        <v>74</v>
      </c>
      <c r="C41" s="103">
        <v>0</v>
      </c>
      <c r="D41" s="371">
        <v>1</v>
      </c>
      <c r="E41" s="204" t="s">
        <v>97</v>
      </c>
    </row>
    <row r="42" spans="2:5" ht="15.75" x14ac:dyDescent="0.25">
      <c r="B42" s="102" t="s">
        <v>74</v>
      </c>
      <c r="C42" s="103">
        <v>0</v>
      </c>
      <c r="D42" s="371">
        <v>1</v>
      </c>
      <c r="E42" s="204" t="s">
        <v>97</v>
      </c>
    </row>
    <row r="43" spans="2:5" ht="15.75" x14ac:dyDescent="0.25">
      <c r="B43" s="102" t="s">
        <v>74</v>
      </c>
      <c r="C43" s="103">
        <v>0</v>
      </c>
      <c r="D43" s="101">
        <v>1</v>
      </c>
      <c r="E43" s="204" t="s">
        <v>97</v>
      </c>
    </row>
    <row r="44" spans="2:5" ht="15.75" x14ac:dyDescent="0.25">
      <c r="B44" s="102" t="s">
        <v>74</v>
      </c>
      <c r="C44" s="103">
        <v>0</v>
      </c>
      <c r="D44" s="101">
        <v>1</v>
      </c>
      <c r="E44" s="204" t="s">
        <v>97</v>
      </c>
    </row>
    <row r="45" spans="2:5" ht="15.75" x14ac:dyDescent="0.25">
      <c r="B45" s="102" t="s">
        <v>74</v>
      </c>
      <c r="C45" s="103">
        <v>0</v>
      </c>
      <c r="D45" s="101">
        <v>1</v>
      </c>
      <c r="E45" s="204" t="s">
        <v>97</v>
      </c>
    </row>
    <row r="46" spans="2:5" ht="15.75" x14ac:dyDescent="0.25">
      <c r="B46" s="102" t="s">
        <v>74</v>
      </c>
      <c r="C46" s="103">
        <v>0</v>
      </c>
      <c r="D46" s="101">
        <v>1</v>
      </c>
      <c r="E46" s="204" t="s">
        <v>97</v>
      </c>
    </row>
    <row r="47" spans="2:5" ht="15.75" x14ac:dyDescent="0.25">
      <c r="B47" s="102" t="s">
        <v>74</v>
      </c>
      <c r="C47" s="103">
        <v>0</v>
      </c>
      <c r="D47" s="101">
        <v>1</v>
      </c>
      <c r="E47" s="204" t="s">
        <v>97</v>
      </c>
    </row>
    <row r="48" spans="2:5" ht="15.75" x14ac:dyDescent="0.25">
      <c r="B48" s="102" t="s">
        <v>74</v>
      </c>
      <c r="C48" s="103">
        <v>0</v>
      </c>
      <c r="D48" s="101">
        <v>1</v>
      </c>
      <c r="E48" s="204" t="s">
        <v>97</v>
      </c>
    </row>
    <row r="49" spans="2:5" ht="15.75" x14ac:dyDescent="0.25">
      <c r="B49" s="102" t="s">
        <v>74</v>
      </c>
      <c r="C49" s="103">
        <v>0</v>
      </c>
      <c r="D49" s="101">
        <v>1</v>
      </c>
      <c r="E49" s="204" t="s">
        <v>97</v>
      </c>
    </row>
    <row r="50" spans="2:5" ht="16.5" thickBot="1" x14ac:dyDescent="0.3">
      <c r="B50" s="104" t="s">
        <v>74</v>
      </c>
      <c r="C50" s="105">
        <v>0</v>
      </c>
      <c r="D50" s="106">
        <v>1</v>
      </c>
      <c r="E50" s="204" t="s">
        <v>97</v>
      </c>
    </row>
    <row r="51" spans="2:5" ht="30" customHeight="1" thickTop="1" x14ac:dyDescent="0.25">
      <c r="B51" s="67" t="s">
        <v>126</v>
      </c>
      <c r="C51" s="68">
        <f>SUM(C31:C50)</f>
        <v>2485114.24762811</v>
      </c>
      <c r="D51" s="46">
        <f>SUMPRODUCT(C31:C50,D31:D50)/C51</f>
        <v>1</v>
      </c>
      <c r="E51" s="42"/>
    </row>
    <row r="53" spans="2:5" ht="30" customHeight="1" x14ac:dyDescent="0.25">
      <c r="B53" s="1066" t="s">
        <v>895</v>
      </c>
    </row>
    <row r="54" spans="2:5" ht="15.75" thickBot="1" x14ac:dyDescent="0.3"/>
    <row r="55" spans="2:5" ht="30.75" thickBot="1" x14ac:dyDescent="0.3">
      <c r="B55" s="36" t="str">
        <f>'Financial Inputs'!E36</f>
        <v>Interconnection</v>
      </c>
      <c r="C55" s="70" t="s">
        <v>0</v>
      </c>
      <c r="D55" s="71" t="s">
        <v>73</v>
      </c>
      <c r="E55" s="61" t="s">
        <v>120</v>
      </c>
    </row>
    <row r="56" spans="2:5" ht="15.75" x14ac:dyDescent="0.25">
      <c r="B56" s="102" t="s">
        <v>897</v>
      </c>
      <c r="C56" s="372">
        <v>298417.98258571845</v>
      </c>
      <c r="D56" s="101">
        <v>0.5</v>
      </c>
      <c r="E56" s="204" t="s">
        <v>98</v>
      </c>
    </row>
    <row r="57" spans="2:5" ht="15.75" x14ac:dyDescent="0.25">
      <c r="B57" s="205" t="s">
        <v>74</v>
      </c>
      <c r="C57" s="372">
        <v>0</v>
      </c>
      <c r="D57" s="101">
        <v>0.5</v>
      </c>
      <c r="E57" s="204" t="s">
        <v>18</v>
      </c>
    </row>
    <row r="58" spans="2:5" ht="15.75" x14ac:dyDescent="0.25">
      <c r="B58" s="205" t="s">
        <v>74</v>
      </c>
      <c r="C58" s="372">
        <v>0</v>
      </c>
      <c r="D58" s="101">
        <v>0.5</v>
      </c>
      <c r="E58" s="204" t="s">
        <v>18</v>
      </c>
    </row>
    <row r="59" spans="2:5" ht="15.75" x14ac:dyDescent="0.25">
      <c r="B59" s="205" t="s">
        <v>74</v>
      </c>
      <c r="C59" s="372">
        <v>0</v>
      </c>
      <c r="D59" s="101">
        <v>0.5</v>
      </c>
      <c r="E59" s="204" t="s">
        <v>18</v>
      </c>
    </row>
    <row r="60" spans="2:5" ht="15.75" x14ac:dyDescent="0.25">
      <c r="B60" s="205" t="s">
        <v>74</v>
      </c>
      <c r="C60" s="206">
        <v>0</v>
      </c>
      <c r="D60" s="101">
        <v>0.5</v>
      </c>
      <c r="E60" s="204" t="s">
        <v>18</v>
      </c>
    </row>
    <row r="61" spans="2:5" ht="15.75" x14ac:dyDescent="0.25">
      <c r="B61" s="205" t="s">
        <v>74</v>
      </c>
      <c r="C61" s="206">
        <v>0</v>
      </c>
      <c r="D61" s="101">
        <v>0.5</v>
      </c>
      <c r="E61" s="204" t="s">
        <v>18</v>
      </c>
    </row>
    <row r="62" spans="2:5" ht="15.75" x14ac:dyDescent="0.25">
      <c r="B62" s="205" t="s">
        <v>74</v>
      </c>
      <c r="C62" s="206">
        <v>0</v>
      </c>
      <c r="D62" s="101">
        <v>0.5</v>
      </c>
      <c r="E62" s="204" t="s">
        <v>18</v>
      </c>
    </row>
    <row r="63" spans="2:5" ht="15.75" x14ac:dyDescent="0.25">
      <c r="B63" s="205" t="s">
        <v>74</v>
      </c>
      <c r="C63" s="206">
        <v>0</v>
      </c>
      <c r="D63" s="101">
        <v>0.5</v>
      </c>
      <c r="E63" s="204" t="s">
        <v>18</v>
      </c>
    </row>
    <row r="64" spans="2:5" ht="15.75" x14ac:dyDescent="0.25">
      <c r="B64" s="205" t="s">
        <v>74</v>
      </c>
      <c r="C64" s="206">
        <v>0</v>
      </c>
      <c r="D64" s="101">
        <v>0.5</v>
      </c>
      <c r="E64" s="204" t="s">
        <v>18</v>
      </c>
    </row>
    <row r="65" spans="2:5" ht="15.75" x14ac:dyDescent="0.25">
      <c r="B65" s="205" t="s">
        <v>74</v>
      </c>
      <c r="C65" s="206">
        <v>0</v>
      </c>
      <c r="D65" s="101">
        <v>0.5</v>
      </c>
      <c r="E65" s="204" t="s">
        <v>18</v>
      </c>
    </row>
    <row r="66" spans="2:5" ht="15.75" x14ac:dyDescent="0.25">
      <c r="B66" s="205" t="s">
        <v>74</v>
      </c>
      <c r="C66" s="206">
        <v>0</v>
      </c>
      <c r="D66" s="101">
        <v>0.5</v>
      </c>
      <c r="E66" s="204" t="s">
        <v>18</v>
      </c>
    </row>
    <row r="67" spans="2:5" ht="15.75" x14ac:dyDescent="0.25">
      <c r="B67" s="205" t="s">
        <v>74</v>
      </c>
      <c r="C67" s="206">
        <v>0</v>
      </c>
      <c r="D67" s="101">
        <v>0.5</v>
      </c>
      <c r="E67" s="204" t="s">
        <v>18</v>
      </c>
    </row>
    <row r="68" spans="2:5" ht="15.75" x14ac:dyDescent="0.25">
      <c r="B68" s="205" t="s">
        <v>74</v>
      </c>
      <c r="C68" s="206">
        <v>0</v>
      </c>
      <c r="D68" s="101">
        <v>0.5</v>
      </c>
      <c r="E68" s="204" t="s">
        <v>18</v>
      </c>
    </row>
    <row r="69" spans="2:5" ht="15.75" x14ac:dyDescent="0.25">
      <c r="B69" s="205" t="s">
        <v>74</v>
      </c>
      <c r="C69" s="206">
        <v>0</v>
      </c>
      <c r="D69" s="101">
        <v>0.5</v>
      </c>
      <c r="E69" s="204" t="s">
        <v>18</v>
      </c>
    </row>
    <row r="70" spans="2:5" ht="15.75" x14ac:dyDescent="0.25">
      <c r="B70" s="205" t="s">
        <v>74</v>
      </c>
      <c r="C70" s="206">
        <v>0</v>
      </c>
      <c r="D70" s="101">
        <v>0.5</v>
      </c>
      <c r="E70" s="204" t="s">
        <v>18</v>
      </c>
    </row>
    <row r="71" spans="2:5" ht="15.75" x14ac:dyDescent="0.25">
      <c r="B71" s="205" t="s">
        <v>74</v>
      </c>
      <c r="C71" s="206">
        <v>0</v>
      </c>
      <c r="D71" s="101">
        <v>0.5</v>
      </c>
      <c r="E71" s="204" t="s">
        <v>18</v>
      </c>
    </row>
    <row r="72" spans="2:5" ht="15.75" x14ac:dyDescent="0.25">
      <c r="B72" s="205" t="s">
        <v>74</v>
      </c>
      <c r="C72" s="206">
        <v>0</v>
      </c>
      <c r="D72" s="101">
        <v>0.5</v>
      </c>
      <c r="E72" s="204" t="s">
        <v>18</v>
      </c>
    </row>
    <row r="73" spans="2:5" ht="15.75" x14ac:dyDescent="0.25">
      <c r="B73" s="205" t="s">
        <v>74</v>
      </c>
      <c r="C73" s="206">
        <v>0</v>
      </c>
      <c r="D73" s="101">
        <v>0.5</v>
      </c>
      <c r="E73" s="204" t="s">
        <v>18</v>
      </c>
    </row>
    <row r="74" spans="2:5" ht="15.75" x14ac:dyDescent="0.25">
      <c r="B74" s="205" t="s">
        <v>74</v>
      </c>
      <c r="C74" s="206">
        <v>0</v>
      </c>
      <c r="D74" s="101">
        <v>0.5</v>
      </c>
      <c r="E74" s="204" t="s">
        <v>18</v>
      </c>
    </row>
    <row r="75" spans="2:5" ht="16.5" thickBot="1" x14ac:dyDescent="0.3">
      <c r="B75" s="104" t="s">
        <v>74</v>
      </c>
      <c r="C75" s="105">
        <v>0</v>
      </c>
      <c r="D75" s="106">
        <v>0.5</v>
      </c>
      <c r="E75" s="204" t="s">
        <v>18</v>
      </c>
    </row>
    <row r="76" spans="2:5" ht="30" customHeight="1" thickTop="1" x14ac:dyDescent="0.25">
      <c r="B76" s="67" t="s">
        <v>127</v>
      </c>
      <c r="C76" s="68">
        <f>SUM(C56:C75)</f>
        <v>298417.98258571845</v>
      </c>
      <c r="D76" s="46">
        <f>SUMPRODUCT(C56:C75,D56:D75)/C76</f>
        <v>0.5</v>
      </c>
      <c r="E76" s="44"/>
    </row>
    <row r="77" spans="2:5" ht="15.75" customHeight="1" x14ac:dyDescent="0.25"/>
    <row r="78" spans="2:5" ht="30" customHeight="1" x14ac:dyDescent="0.25">
      <c r="B78" s="1066" t="s">
        <v>895</v>
      </c>
    </row>
    <row r="79" spans="2:5" ht="15.75" customHeight="1" thickBot="1" x14ac:dyDescent="0.3">
      <c r="B79" s="43"/>
    </row>
    <row r="80" spans="2:5" ht="30.75" thickBot="1" x14ac:dyDescent="0.3">
      <c r="B80" s="36" t="str">
        <f>'Financial Inputs'!E37</f>
        <v>Development Costs &amp; Fee</v>
      </c>
      <c r="C80" s="70" t="s">
        <v>0</v>
      </c>
      <c r="D80" s="71" t="s">
        <v>73</v>
      </c>
      <c r="E80" s="61" t="s">
        <v>120</v>
      </c>
    </row>
    <row r="81" spans="2:5" ht="15.75" x14ac:dyDescent="0.25">
      <c r="B81" s="102" t="s">
        <v>898</v>
      </c>
      <c r="C81" s="370">
        <v>0</v>
      </c>
      <c r="D81" s="101">
        <v>1</v>
      </c>
      <c r="E81" s="204" t="s">
        <v>15</v>
      </c>
    </row>
    <row r="82" spans="2:5" ht="15.75" x14ac:dyDescent="0.25">
      <c r="B82" s="102" t="s">
        <v>898</v>
      </c>
      <c r="C82" s="370">
        <v>0</v>
      </c>
      <c r="D82" s="101">
        <v>1</v>
      </c>
      <c r="E82" s="204" t="s">
        <v>19</v>
      </c>
    </row>
    <row r="83" spans="2:5" ht="15.75" x14ac:dyDescent="0.25">
      <c r="B83" s="102" t="s">
        <v>74</v>
      </c>
      <c r="C83" s="370">
        <v>0</v>
      </c>
      <c r="D83" s="101">
        <v>1</v>
      </c>
      <c r="E83" s="204" t="s">
        <v>15</v>
      </c>
    </row>
    <row r="84" spans="2:5" ht="15.75" x14ac:dyDescent="0.25">
      <c r="B84" s="102" t="s">
        <v>74</v>
      </c>
      <c r="C84" s="370">
        <v>0</v>
      </c>
      <c r="D84" s="101">
        <v>1</v>
      </c>
      <c r="E84" s="204" t="s">
        <v>15</v>
      </c>
    </row>
    <row r="85" spans="2:5" ht="15.75" x14ac:dyDescent="0.25">
      <c r="B85" s="102" t="s">
        <v>74</v>
      </c>
      <c r="C85" s="370">
        <v>0</v>
      </c>
      <c r="D85" s="101">
        <v>1</v>
      </c>
      <c r="E85" s="204" t="s">
        <v>15</v>
      </c>
    </row>
    <row r="86" spans="2:5" ht="15.75" x14ac:dyDescent="0.25">
      <c r="B86" s="102" t="s">
        <v>74</v>
      </c>
      <c r="C86" s="370">
        <v>0</v>
      </c>
      <c r="D86" s="101">
        <v>1</v>
      </c>
      <c r="E86" s="204" t="s">
        <v>15</v>
      </c>
    </row>
    <row r="87" spans="2:5" ht="15.75" x14ac:dyDescent="0.25">
      <c r="B87" s="102" t="s">
        <v>74</v>
      </c>
      <c r="C87" s="103">
        <v>0</v>
      </c>
      <c r="D87" s="101">
        <v>1</v>
      </c>
      <c r="E87" s="204" t="s">
        <v>15</v>
      </c>
    </row>
    <row r="88" spans="2:5" ht="15.75" x14ac:dyDescent="0.25">
      <c r="B88" s="102" t="s">
        <v>74</v>
      </c>
      <c r="C88" s="103">
        <v>0</v>
      </c>
      <c r="D88" s="101">
        <v>1</v>
      </c>
      <c r="E88" s="204" t="s">
        <v>15</v>
      </c>
    </row>
    <row r="89" spans="2:5" ht="15.75" x14ac:dyDescent="0.25">
      <c r="B89" s="102" t="s">
        <v>74</v>
      </c>
      <c r="C89" s="103">
        <v>0</v>
      </c>
      <c r="D89" s="101">
        <v>1</v>
      </c>
      <c r="E89" s="204" t="s">
        <v>15</v>
      </c>
    </row>
    <row r="90" spans="2:5" ht="15.75" x14ac:dyDescent="0.25">
      <c r="B90" s="102" t="s">
        <v>74</v>
      </c>
      <c r="C90" s="103">
        <v>0</v>
      </c>
      <c r="D90" s="101">
        <v>1</v>
      </c>
      <c r="E90" s="204" t="s">
        <v>15</v>
      </c>
    </row>
    <row r="91" spans="2:5" ht="15.75" x14ac:dyDescent="0.25">
      <c r="B91" s="102" t="s">
        <v>74</v>
      </c>
      <c r="C91" s="103">
        <v>0</v>
      </c>
      <c r="D91" s="101">
        <v>1</v>
      </c>
      <c r="E91" s="204" t="s">
        <v>15</v>
      </c>
    </row>
    <row r="92" spans="2:5" ht="15.75" x14ac:dyDescent="0.25">
      <c r="B92" s="102" t="s">
        <v>74</v>
      </c>
      <c r="C92" s="103">
        <v>0</v>
      </c>
      <c r="D92" s="101">
        <v>1</v>
      </c>
      <c r="E92" s="204" t="s">
        <v>15</v>
      </c>
    </row>
    <row r="93" spans="2:5" ht="15.75" x14ac:dyDescent="0.25">
      <c r="B93" s="102" t="s">
        <v>74</v>
      </c>
      <c r="C93" s="103">
        <v>0</v>
      </c>
      <c r="D93" s="101">
        <v>1</v>
      </c>
      <c r="E93" s="204" t="s">
        <v>15</v>
      </c>
    </row>
    <row r="94" spans="2:5" ht="15.75" x14ac:dyDescent="0.25">
      <c r="B94" s="102" t="s">
        <v>74</v>
      </c>
      <c r="C94" s="103">
        <v>0</v>
      </c>
      <c r="D94" s="101">
        <v>1</v>
      </c>
      <c r="E94" s="204" t="s">
        <v>15</v>
      </c>
    </row>
    <row r="95" spans="2:5" ht="15.75" x14ac:dyDescent="0.25">
      <c r="B95" s="102" t="s">
        <v>74</v>
      </c>
      <c r="C95" s="103">
        <v>0</v>
      </c>
      <c r="D95" s="101">
        <v>1</v>
      </c>
      <c r="E95" s="204" t="s">
        <v>15</v>
      </c>
    </row>
    <row r="96" spans="2:5" ht="15.75" x14ac:dyDescent="0.25">
      <c r="B96" s="102" t="s">
        <v>74</v>
      </c>
      <c r="C96" s="103">
        <v>0</v>
      </c>
      <c r="D96" s="101">
        <v>1</v>
      </c>
      <c r="E96" s="204" t="s">
        <v>15</v>
      </c>
    </row>
    <row r="97" spans="2:5" ht="15.75" x14ac:dyDescent="0.25">
      <c r="B97" s="102" t="s">
        <v>74</v>
      </c>
      <c r="C97" s="103">
        <v>0</v>
      </c>
      <c r="D97" s="101">
        <v>1</v>
      </c>
      <c r="E97" s="204" t="s">
        <v>15</v>
      </c>
    </row>
    <row r="98" spans="2:5" ht="15.75" x14ac:dyDescent="0.25">
      <c r="B98" s="102" t="s">
        <v>74</v>
      </c>
      <c r="C98" s="103">
        <v>0</v>
      </c>
      <c r="D98" s="101">
        <v>1</v>
      </c>
      <c r="E98" s="204" t="s">
        <v>15</v>
      </c>
    </row>
    <row r="99" spans="2:5" ht="15.75" x14ac:dyDescent="0.25">
      <c r="B99" s="102" t="s">
        <v>74</v>
      </c>
      <c r="C99" s="103">
        <v>0</v>
      </c>
      <c r="D99" s="101">
        <v>1</v>
      </c>
      <c r="E99" s="204" t="s">
        <v>15</v>
      </c>
    </row>
    <row r="100" spans="2:5" ht="16.5" thickBot="1" x14ac:dyDescent="0.3">
      <c r="B100" s="104" t="s">
        <v>74</v>
      </c>
      <c r="C100" s="105">
        <v>0</v>
      </c>
      <c r="D100" s="106">
        <v>1</v>
      </c>
      <c r="E100" s="204" t="s">
        <v>15</v>
      </c>
    </row>
    <row r="101" spans="2:5" ht="30" customHeight="1" thickTop="1" x14ac:dyDescent="0.25">
      <c r="B101" s="67" t="s">
        <v>131</v>
      </c>
      <c r="C101" s="68">
        <f>SUM(C81:C100)</f>
        <v>0</v>
      </c>
      <c r="D101" s="46">
        <f>IF(C101&gt;0,SUMPRODUCT(C81:C100,D81:D100)/C101,0)</f>
        <v>0</v>
      </c>
      <c r="E101" s="44"/>
    </row>
    <row r="102" spans="2:5" ht="15.75" customHeight="1" x14ac:dyDescent="0.25">
      <c r="B102" s="75"/>
      <c r="C102" s="76"/>
      <c r="D102" s="62"/>
      <c r="E102" s="89"/>
    </row>
    <row r="103" spans="2:5" ht="30" customHeight="1" x14ac:dyDescent="0.25">
      <c r="B103" s="1066" t="s">
        <v>895</v>
      </c>
      <c r="C103" s="76"/>
      <c r="D103" s="62"/>
      <c r="E103" s="89"/>
    </row>
    <row r="104" spans="2:5" ht="15.75" customHeight="1" thickBot="1" x14ac:dyDescent="0.3">
      <c r="B104" s="75"/>
      <c r="C104" s="76"/>
      <c r="D104" s="62"/>
      <c r="E104" s="89"/>
    </row>
    <row r="105" spans="2:5" ht="30" customHeight="1" thickBot="1" x14ac:dyDescent="0.3">
      <c r="B105" s="36" t="str">
        <f>'Financial Inputs'!E39</f>
        <v>Reserves &amp; Financing Costs</v>
      </c>
      <c r="C105" s="70" t="s">
        <v>0</v>
      </c>
      <c r="D105" s="71" t="s">
        <v>73</v>
      </c>
      <c r="E105" s="61" t="s">
        <v>120</v>
      </c>
    </row>
    <row r="106" spans="2:5" ht="15.75" customHeight="1" x14ac:dyDescent="0.25">
      <c r="B106" s="67" t="s">
        <v>129</v>
      </c>
      <c r="C106" s="68">
        <f>((C26+C51+C76+C101)*'Financial Inputs'!$P$159*'Financial Inputs'!$G$69)</f>
        <v>8821.3344178964871</v>
      </c>
      <c r="D106" s="101">
        <v>0</v>
      </c>
      <c r="E106" s="204" t="s">
        <v>19</v>
      </c>
    </row>
    <row r="107" spans="2:5" ht="15.75" customHeight="1" x14ac:dyDescent="0.25">
      <c r="B107" s="40" t="s">
        <v>31</v>
      </c>
      <c r="C107" s="91">
        <f>(C26+C51+C76+C101)*('Financial Inputs'!$G$62/12)*('Financial Inputs'!$G$61/2)</f>
        <v>141141.35068634379</v>
      </c>
      <c r="D107" s="101">
        <v>0</v>
      </c>
      <c r="E107" s="204" t="s">
        <v>18</v>
      </c>
    </row>
    <row r="108" spans="2:5" ht="15.75" customHeight="1" x14ac:dyDescent="0.25">
      <c r="B108" s="6" t="s">
        <v>34</v>
      </c>
      <c r="C108" s="91">
        <f>'Financial Inputs'!$G$71</f>
        <v>0</v>
      </c>
      <c r="D108" s="101">
        <v>0</v>
      </c>
      <c r="E108" s="204" t="s">
        <v>18</v>
      </c>
    </row>
    <row r="109" spans="2:5" ht="15.75" customHeight="1" thickBot="1" x14ac:dyDescent="0.3">
      <c r="B109" s="92" t="s">
        <v>130</v>
      </c>
      <c r="C109" s="93">
        <f>'Financial Inputs'!$P$50</f>
        <v>190565.14615855354</v>
      </c>
      <c r="D109" s="106">
        <v>0</v>
      </c>
      <c r="E109" s="204" t="s">
        <v>19</v>
      </c>
    </row>
    <row r="110" spans="2:5" ht="30.75" customHeight="1" thickTop="1" x14ac:dyDescent="0.25">
      <c r="B110" s="83" t="s">
        <v>104</v>
      </c>
      <c r="C110" s="68">
        <f>SUM(C106:C109)</f>
        <v>340527.83126279386</v>
      </c>
      <c r="D110" s="46">
        <f>SUMPRODUCT(C106:C109,D106:D109)/C110</f>
        <v>0</v>
      </c>
      <c r="E110" s="60"/>
    </row>
    <row r="111" spans="2:5" ht="15.75" customHeight="1" x14ac:dyDescent="0.25">
      <c r="B111" s="72"/>
      <c r="C111" s="90"/>
      <c r="D111" s="73"/>
      <c r="E111" s="74"/>
    </row>
    <row r="112" spans="2:5" ht="30" customHeight="1" x14ac:dyDescent="0.25">
      <c r="B112" s="1066" t="s">
        <v>895</v>
      </c>
      <c r="C112" s="90"/>
      <c r="D112" s="73"/>
      <c r="E112" s="74"/>
    </row>
    <row r="113" spans="2:14" ht="15.75" customHeight="1" thickBot="1" x14ac:dyDescent="0.3">
      <c r="B113" s="72"/>
      <c r="C113" s="90"/>
      <c r="D113" s="73"/>
      <c r="E113" s="74"/>
    </row>
    <row r="114" spans="2:14" ht="16.5" thickBot="1" x14ac:dyDescent="0.3">
      <c r="B114" s="36" t="s">
        <v>125</v>
      </c>
      <c r="C114" s="37"/>
      <c r="D114" s="37"/>
      <c r="E114" s="63" t="s">
        <v>72</v>
      </c>
      <c r="F114" s="64"/>
      <c r="G114" s="64"/>
      <c r="H114" s="64"/>
      <c r="I114" s="64"/>
      <c r="J114" s="64"/>
      <c r="K114" s="64"/>
      <c r="L114" s="64"/>
      <c r="M114" s="64"/>
      <c r="N114" s="65"/>
    </row>
    <row r="115" spans="2:14" ht="45.75" thickBot="1" x14ac:dyDescent="0.3">
      <c r="B115" s="80" t="s">
        <v>22</v>
      </c>
      <c r="C115" s="70" t="s">
        <v>0</v>
      </c>
      <c r="D115" s="71" t="s">
        <v>128</v>
      </c>
      <c r="E115" s="71" t="s">
        <v>22</v>
      </c>
      <c r="F115" s="71" t="s">
        <v>15</v>
      </c>
      <c r="G115" s="71" t="s">
        <v>97</v>
      </c>
      <c r="H115" s="71" t="s">
        <v>16</v>
      </c>
      <c r="I115" s="71" t="s">
        <v>98</v>
      </c>
      <c r="J115" s="71" t="s">
        <v>99</v>
      </c>
      <c r="K115" s="71" t="s">
        <v>17</v>
      </c>
      <c r="L115" s="71" t="s">
        <v>18</v>
      </c>
      <c r="M115" s="71" t="s">
        <v>100</v>
      </c>
      <c r="N115" s="100" t="s">
        <v>19</v>
      </c>
    </row>
    <row r="116" spans="2:14" ht="15.75" customHeight="1" x14ac:dyDescent="0.25">
      <c r="B116" s="83" t="s">
        <v>119</v>
      </c>
      <c r="C116" s="86">
        <f>C26</f>
        <v>745001.53694476595</v>
      </c>
      <c r="D116" s="98">
        <f>C26*D26</f>
        <v>745001.53694476595</v>
      </c>
      <c r="E116" s="99" t="s">
        <v>119</v>
      </c>
      <c r="F116" s="86">
        <f>SUMIF($E$5:$E$26,F$115,$C$5:$C$26)</f>
        <v>0</v>
      </c>
      <c r="G116" s="86">
        <f t="shared" ref="G116:N116" si="0">SUMIF($E$5:$E$26,G$115,$C$5:$C$26)</f>
        <v>745001.53694476595</v>
      </c>
      <c r="H116" s="86">
        <f t="shared" si="0"/>
        <v>0</v>
      </c>
      <c r="I116" s="86">
        <f t="shared" si="0"/>
        <v>0</v>
      </c>
      <c r="J116" s="86">
        <f t="shared" si="0"/>
        <v>0</v>
      </c>
      <c r="K116" s="86">
        <f t="shared" si="0"/>
        <v>0</v>
      </c>
      <c r="L116" s="86">
        <f t="shared" si="0"/>
        <v>0</v>
      </c>
      <c r="M116" s="86">
        <f t="shared" si="0"/>
        <v>0</v>
      </c>
      <c r="N116" s="86">
        <f t="shared" si="0"/>
        <v>0</v>
      </c>
    </row>
    <row r="117" spans="2:14" ht="15.75" customHeight="1" x14ac:dyDescent="0.25">
      <c r="B117" s="41" t="s">
        <v>121</v>
      </c>
      <c r="C117" s="81">
        <f>C51</f>
        <v>2485114.24762811</v>
      </c>
      <c r="D117" s="88">
        <f>C51*D51</f>
        <v>2485114.24762811</v>
      </c>
      <c r="E117" s="96" t="s">
        <v>121</v>
      </c>
      <c r="F117" s="81">
        <f>SUMIF($E$30:$E$51,F$115,$C$30:$C$51)</f>
        <v>1093450.2689563683</v>
      </c>
      <c r="G117" s="81">
        <f t="shared" ref="G117:N117" si="1">SUMIF($E$30:$E$51,G$115,$C$30:$C$51)</f>
        <v>1391663.9786717417</v>
      </c>
      <c r="H117" s="81">
        <f t="shared" si="1"/>
        <v>0</v>
      </c>
      <c r="I117" s="81">
        <f t="shared" si="1"/>
        <v>0</v>
      </c>
      <c r="J117" s="81">
        <f t="shared" si="1"/>
        <v>0</v>
      </c>
      <c r="K117" s="81">
        <f t="shared" si="1"/>
        <v>0</v>
      </c>
      <c r="L117" s="81">
        <f t="shared" si="1"/>
        <v>0</v>
      </c>
      <c r="M117" s="81">
        <f t="shared" si="1"/>
        <v>0</v>
      </c>
      <c r="N117" s="81">
        <f t="shared" si="1"/>
        <v>0</v>
      </c>
    </row>
    <row r="118" spans="2:14" ht="15.75" customHeight="1" x14ac:dyDescent="0.25">
      <c r="B118" s="41" t="s">
        <v>122</v>
      </c>
      <c r="C118" s="81">
        <f>C76</f>
        <v>298417.98258571845</v>
      </c>
      <c r="D118" s="88">
        <f>C76*D76</f>
        <v>149208.99129285922</v>
      </c>
      <c r="E118" s="96" t="s">
        <v>122</v>
      </c>
      <c r="F118" s="81">
        <f>SUMIF($E$55:$E$76,F$115,$C$55:$C$76)</f>
        <v>0</v>
      </c>
      <c r="G118" s="81">
        <f t="shared" ref="G118:N118" si="2">SUMIF($E$55:$E$76,G$115,$C$55:$C$76)</f>
        <v>0</v>
      </c>
      <c r="H118" s="81">
        <f t="shared" si="2"/>
        <v>0</v>
      </c>
      <c r="I118" s="81">
        <f t="shared" si="2"/>
        <v>298417.98258571845</v>
      </c>
      <c r="J118" s="81">
        <f t="shared" si="2"/>
        <v>0</v>
      </c>
      <c r="K118" s="81">
        <f t="shared" si="2"/>
        <v>0</v>
      </c>
      <c r="L118" s="81">
        <f t="shared" si="2"/>
        <v>0</v>
      </c>
      <c r="M118" s="81">
        <f t="shared" si="2"/>
        <v>0</v>
      </c>
      <c r="N118" s="81">
        <f t="shared" si="2"/>
        <v>0</v>
      </c>
    </row>
    <row r="119" spans="2:14" ht="15.75" customHeight="1" x14ac:dyDescent="0.25">
      <c r="B119" s="41" t="s">
        <v>123</v>
      </c>
      <c r="C119" s="81">
        <f>C101</f>
        <v>0</v>
      </c>
      <c r="D119" s="88">
        <f>C101*D101</f>
        <v>0</v>
      </c>
      <c r="E119" s="96" t="s">
        <v>123</v>
      </c>
      <c r="F119" s="81">
        <f>SUMIF($E$80:$E$101,F$115,$C$80:$C$101)</f>
        <v>0</v>
      </c>
      <c r="G119" s="81">
        <f t="shared" ref="G119:N119" si="3">SUMIF($E$80:$E$101,G$115,$C$80:$C$101)</f>
        <v>0</v>
      </c>
      <c r="H119" s="81">
        <f t="shared" si="3"/>
        <v>0</v>
      </c>
      <c r="I119" s="81">
        <f t="shared" si="3"/>
        <v>0</v>
      </c>
      <c r="J119" s="81">
        <f t="shared" si="3"/>
        <v>0</v>
      </c>
      <c r="K119" s="81">
        <f t="shared" si="3"/>
        <v>0</v>
      </c>
      <c r="L119" s="81">
        <f t="shared" si="3"/>
        <v>0</v>
      </c>
      <c r="M119" s="81">
        <f t="shared" si="3"/>
        <v>0</v>
      </c>
      <c r="N119" s="81">
        <f t="shared" si="3"/>
        <v>0</v>
      </c>
    </row>
    <row r="120" spans="2:14" ht="15.75" customHeight="1" thickBot="1" x14ac:dyDescent="0.3">
      <c r="B120" s="84" t="s">
        <v>75</v>
      </c>
      <c r="C120" s="85">
        <f>C110</f>
        <v>340527.83126279386</v>
      </c>
      <c r="D120" s="94">
        <f>C110*D110</f>
        <v>0</v>
      </c>
      <c r="E120" s="97" t="s">
        <v>75</v>
      </c>
      <c r="F120" s="95">
        <f>SUMIF($E$105:$E$110,F$115,$C$105:$C$110)</f>
        <v>0</v>
      </c>
      <c r="G120" s="95">
        <f t="shared" ref="G120:N120" si="4">SUMIF($E$105:$E$110,G$115,$C$105:$C$110)</f>
        <v>0</v>
      </c>
      <c r="H120" s="95">
        <f t="shared" si="4"/>
        <v>0</v>
      </c>
      <c r="I120" s="95">
        <f t="shared" si="4"/>
        <v>0</v>
      </c>
      <c r="J120" s="95">
        <f t="shared" si="4"/>
        <v>0</v>
      </c>
      <c r="K120" s="95">
        <f t="shared" si="4"/>
        <v>0</v>
      </c>
      <c r="L120" s="95">
        <f t="shared" si="4"/>
        <v>141141.35068634379</v>
      </c>
      <c r="M120" s="95">
        <f t="shared" si="4"/>
        <v>0</v>
      </c>
      <c r="N120" s="95">
        <f t="shared" si="4"/>
        <v>199386.48057645003</v>
      </c>
    </row>
    <row r="121" spans="2:14" ht="30" customHeight="1" thickTop="1" x14ac:dyDescent="0.25">
      <c r="B121" s="82" t="s">
        <v>104</v>
      </c>
      <c r="C121" s="87">
        <f>SUM(C116:C120)</f>
        <v>3869061.5984213883</v>
      </c>
      <c r="D121" s="87">
        <f>SUM(D116:D120)</f>
        <v>3379324.7758657355</v>
      </c>
      <c r="E121" s="41"/>
      <c r="F121" s="87">
        <f>SUM(F116:F120)</f>
        <v>1093450.2689563683</v>
      </c>
      <c r="G121" s="87">
        <f t="shared" ref="G121:N121" si="5">SUM(G116:G120)</f>
        <v>2136665.5156165077</v>
      </c>
      <c r="H121" s="87">
        <f t="shared" si="5"/>
        <v>0</v>
      </c>
      <c r="I121" s="87">
        <f t="shared" si="5"/>
        <v>298417.98258571845</v>
      </c>
      <c r="J121" s="87">
        <f t="shared" si="5"/>
        <v>0</v>
      </c>
      <c r="K121" s="87">
        <f t="shared" si="5"/>
        <v>0</v>
      </c>
      <c r="L121" s="87">
        <f t="shared" si="5"/>
        <v>141141.35068634379</v>
      </c>
      <c r="M121" s="87">
        <f t="shared" si="5"/>
        <v>0</v>
      </c>
      <c r="N121" s="87">
        <f t="shared" si="5"/>
        <v>199386.48057645003</v>
      </c>
    </row>
    <row r="123" spans="2:14" ht="15.75" x14ac:dyDescent="0.25">
      <c r="B123" s="158" t="s">
        <v>138</v>
      </c>
      <c r="C123" s="159" t="str">
        <f>'Financial Inputs'!P62</f>
        <v>Yes</v>
      </c>
    </row>
    <row r="124" spans="2:14" ht="15.75" thickBot="1" x14ac:dyDescent="0.3">
      <c r="B124" s="210"/>
      <c r="C124" s="210"/>
      <c r="D124" s="210"/>
      <c r="E124" s="210"/>
      <c r="F124" s="210"/>
      <c r="G124" s="210"/>
      <c r="H124" s="210"/>
      <c r="I124" s="210"/>
      <c r="J124" s="210"/>
      <c r="K124" s="210"/>
      <c r="L124" s="210"/>
      <c r="M124" s="210"/>
      <c r="N124" s="210"/>
    </row>
    <row r="125" spans="2:14" x14ac:dyDescent="0.25">
      <c r="D125" s="203"/>
      <c r="E125" s="203"/>
    </row>
    <row r="126" spans="2:14" ht="30" customHeight="1" x14ac:dyDescent="0.25"/>
    <row r="129" spans="6:6" x14ac:dyDescent="0.25">
      <c r="F129" s="234"/>
    </row>
    <row r="130" spans="6:6" x14ac:dyDescent="0.25">
      <c r="F130" s="234"/>
    </row>
    <row r="131" spans="6:6" x14ac:dyDescent="0.25">
      <c r="F131" s="234"/>
    </row>
    <row r="132" spans="6:6" x14ac:dyDescent="0.25">
      <c r="F132" s="234"/>
    </row>
    <row r="133" spans="6:6" x14ac:dyDescent="0.25">
      <c r="F133" s="234"/>
    </row>
    <row r="134" spans="6:6" x14ac:dyDescent="0.25">
      <c r="F134" s="234"/>
    </row>
    <row r="135" spans="6:6" x14ac:dyDescent="0.25">
      <c r="F135" s="234"/>
    </row>
    <row r="136" spans="6:6" x14ac:dyDescent="0.25">
      <c r="F136" s="234"/>
    </row>
    <row r="137" spans="6:6" x14ac:dyDescent="0.25">
      <c r="F137" s="234"/>
    </row>
    <row r="138" spans="6:6" x14ac:dyDescent="0.25">
      <c r="F138" s="234"/>
    </row>
    <row r="139" spans="6:6" x14ac:dyDescent="0.25">
      <c r="F139" s="234"/>
    </row>
    <row r="140" spans="6:6" x14ac:dyDescent="0.25">
      <c r="F140" s="234"/>
    </row>
    <row r="141" spans="6:6" x14ac:dyDescent="0.25">
      <c r="F141" s="234"/>
    </row>
    <row r="142" spans="6:6" x14ac:dyDescent="0.25">
      <c r="F142" s="234"/>
    </row>
    <row r="143" spans="6:6" x14ac:dyDescent="0.25">
      <c r="F143" s="234"/>
    </row>
    <row r="144" spans="6:6" x14ac:dyDescent="0.25">
      <c r="F144" s="234"/>
    </row>
    <row r="145" spans="6:6" x14ac:dyDescent="0.25">
      <c r="F145" s="234"/>
    </row>
    <row r="146" spans="6:6" x14ac:dyDescent="0.25">
      <c r="F146" s="234"/>
    </row>
    <row r="147" spans="6:6" x14ac:dyDescent="0.25">
      <c r="F147" s="234"/>
    </row>
    <row r="148" spans="6:6" x14ac:dyDescent="0.25">
      <c r="F148" s="234"/>
    </row>
    <row r="149" spans="6:6" x14ac:dyDescent="0.25">
      <c r="F149" s="234"/>
    </row>
    <row r="150" spans="6:6" x14ac:dyDescent="0.25">
      <c r="F150" s="234"/>
    </row>
    <row r="151" spans="6:6" x14ac:dyDescent="0.25">
      <c r="F151" s="234"/>
    </row>
    <row r="152" spans="6:6" x14ac:dyDescent="0.25">
      <c r="F152" s="234"/>
    </row>
    <row r="153" spans="6:6" x14ac:dyDescent="0.25">
      <c r="F153" s="234"/>
    </row>
    <row r="154" spans="6:6" x14ac:dyDescent="0.25">
      <c r="F154" s="234"/>
    </row>
    <row r="155" spans="6:6" x14ac:dyDescent="0.25">
      <c r="F155" s="234"/>
    </row>
    <row r="156" spans="6:6" x14ac:dyDescent="0.25">
      <c r="F156" s="234"/>
    </row>
    <row r="157" spans="6:6" x14ac:dyDescent="0.25">
      <c r="F157" s="234"/>
    </row>
    <row r="158" spans="6:6" x14ac:dyDescent="0.25">
      <c r="F158" s="234"/>
    </row>
    <row r="159" spans="6:6" ht="30" customHeight="1" x14ac:dyDescent="0.25"/>
  </sheetData>
  <sheetProtection sheet="1" objects="1" scenarios="1"/>
  <protectedRanges>
    <protectedRange sqref="D129:D158" name="Market Value"/>
    <protectedRange sqref="D106:E109 B56:E75 B6:E25 B31:E50 B81:E100" name="Complex Inputs"/>
  </protectedRanges>
  <conditionalFormatting sqref="B108">
    <cfRule type="expression" dxfId="2" priority="5">
      <formula>#REF!="100% Equity"</formula>
    </cfRule>
    <cfRule type="expression" dxfId="1" priority="6">
      <formula>#REF!="(use dropdown)"</formula>
    </cfRule>
  </conditionalFormatting>
  <conditionalFormatting sqref="D6:E26 D31:E51 D56:E76 D81:E101 D106:E110 D116:N121">
    <cfRule type="expression" dxfId="0" priority="1">
      <formula>$C$123="No"</formula>
    </cfRule>
  </conditionalFormatting>
  <dataValidations count="1">
    <dataValidation type="list" allowBlank="1" showInputMessage="1" showErrorMessage="1" sqref="E81:E100 E106:E109 E56:E75 E31:E50 E6:E25" xr:uid="{00000000-0002-0000-0500-000000000000}">
      <formula1>$F$115:$N$115</formula1>
    </dataValidation>
  </dataValidations>
  <hyperlinks>
    <hyperlink ref="B28" location="'Financial Inputs'!A1" display="Click Here to Return to Financial Inputs Sheet" xr:uid="{00000000-0004-0000-0500-000002000000}"/>
    <hyperlink ref="B53" location="'Financial Inputs'!A1" display="Click Here to Return to Financial Inputs Sheet" xr:uid="{C5A9EFAE-9A53-4EB1-AF5D-047D53D2EC10}"/>
    <hyperlink ref="B78" location="'Financial Inputs'!A1" display="Click Here to Return to Financial Inputs Sheet" xr:uid="{E5B1C758-37F8-41BC-9A72-A8473CDCAEC8}"/>
    <hyperlink ref="B103" location="'Financial Inputs'!A1" display="Click Here to Return to Financial Inputs Sheet" xr:uid="{EE1CB924-2EE3-4F60-940F-778744BC4789}"/>
    <hyperlink ref="B112" location="'Financial Inputs'!A1" display="Click Here to Return to Financial Inputs Sheet" xr:uid="{4EC70340-3003-4FF1-8752-E20F683212F8}"/>
  </hyperlinks>
  <pageMargins left="0.7" right="0.7" top="0.75" bottom="0.75" header="0.3" footer="0.3"/>
  <pageSetup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78AD2-2ADD-4777-9077-860C1C0BE683}">
  <sheetPr codeName="Sheet1"/>
  <dimension ref="A1:K14"/>
  <sheetViews>
    <sheetView workbookViewId="0">
      <selection activeCell="I4" sqref="I4:K4"/>
    </sheetView>
  </sheetViews>
  <sheetFormatPr defaultRowHeight="15" x14ac:dyDescent="0.25"/>
  <cols>
    <col min="1" max="11" width="15.5703125" customWidth="1"/>
  </cols>
  <sheetData>
    <row r="1" spans="1:11" ht="96" customHeight="1" x14ac:dyDescent="0.25">
      <c r="A1" s="436"/>
      <c r="B1" s="436"/>
      <c r="C1" s="436"/>
      <c r="D1" s="436"/>
      <c r="E1" s="436"/>
      <c r="F1" s="436"/>
      <c r="G1" s="436"/>
      <c r="H1" s="436"/>
      <c r="I1" s="436"/>
      <c r="J1" s="436"/>
      <c r="K1" s="436"/>
    </row>
    <row r="2" spans="1:11" ht="33" x14ac:dyDescent="0.25">
      <c r="A2" s="1114" t="s">
        <v>904</v>
      </c>
      <c r="B2" s="1114"/>
      <c r="C2" s="1114"/>
      <c r="D2" s="1114"/>
      <c r="E2" s="1114"/>
      <c r="F2" s="1114"/>
      <c r="G2" s="1114"/>
      <c r="H2" s="1114"/>
      <c r="I2" s="1114"/>
      <c r="J2" s="1114"/>
      <c r="K2" s="1114"/>
    </row>
    <row r="3" spans="1:11" x14ac:dyDescent="0.25">
      <c r="A3" s="1111" t="s">
        <v>603</v>
      </c>
      <c r="B3" s="1111"/>
      <c r="C3" s="1112" t="s">
        <v>604</v>
      </c>
      <c r="D3" s="1112"/>
      <c r="E3" s="1112"/>
      <c r="F3" s="1112"/>
      <c r="G3" s="1112" t="s">
        <v>605</v>
      </c>
      <c r="H3" s="1112"/>
      <c r="I3" s="1112">
        <v>1.2</v>
      </c>
      <c r="J3" s="1112"/>
      <c r="K3" s="1112"/>
    </row>
    <row r="4" spans="1:11" x14ac:dyDescent="0.25">
      <c r="A4" s="1111" t="s">
        <v>606</v>
      </c>
      <c r="B4" s="1111"/>
      <c r="C4" s="1112" t="s">
        <v>617</v>
      </c>
      <c r="D4" s="1112"/>
      <c r="E4" s="1112"/>
      <c r="F4" s="1112"/>
      <c r="G4" s="1112" t="s">
        <v>607</v>
      </c>
      <c r="H4" s="1112"/>
      <c r="I4" s="1113">
        <v>45384</v>
      </c>
      <c r="J4" s="1113"/>
      <c r="K4" s="1113"/>
    </row>
    <row r="5" spans="1:11" x14ac:dyDescent="0.25">
      <c r="A5" s="1111" t="s">
        <v>608</v>
      </c>
      <c r="B5" s="1111"/>
      <c r="C5" s="1115" t="s">
        <v>614</v>
      </c>
      <c r="D5" s="1112"/>
      <c r="E5" s="1112"/>
      <c r="F5" s="1112"/>
      <c r="G5" s="1116"/>
      <c r="H5" s="1116"/>
      <c r="I5" s="1116"/>
      <c r="J5" s="1116"/>
      <c r="K5" s="1116"/>
    </row>
    <row r="6" spans="1:11" x14ac:dyDescent="0.25">
      <c r="A6" s="1111" t="s">
        <v>609</v>
      </c>
      <c r="B6" s="1111"/>
      <c r="C6" s="1112"/>
      <c r="D6" s="1112"/>
      <c r="E6" s="1112"/>
      <c r="F6" s="1112"/>
      <c r="G6" s="1116"/>
      <c r="H6" s="1116"/>
      <c r="I6" s="1116"/>
      <c r="J6" s="1116"/>
      <c r="K6" s="1116"/>
    </row>
    <row r="7" spans="1:11" ht="15.75" x14ac:dyDescent="0.25">
      <c r="A7" s="1126" t="s">
        <v>610</v>
      </c>
      <c r="B7" s="1127"/>
      <c r="C7" s="1127"/>
      <c r="D7" s="1127"/>
      <c r="E7" s="1127"/>
      <c r="F7" s="1127"/>
      <c r="G7" s="1127"/>
      <c r="H7" s="1127"/>
      <c r="I7" s="1127"/>
      <c r="J7" s="1127"/>
      <c r="K7" s="1128"/>
    </row>
    <row r="8" spans="1:11" ht="38.25" customHeight="1" x14ac:dyDescent="0.25">
      <c r="A8" s="1129" t="s">
        <v>616</v>
      </c>
      <c r="B8" s="1130"/>
      <c r="C8" s="1130"/>
      <c r="D8" s="1130"/>
      <c r="E8" s="1130"/>
      <c r="F8" s="1130"/>
      <c r="G8" s="1130"/>
      <c r="H8" s="1130"/>
      <c r="I8" s="1130"/>
      <c r="J8" s="1130"/>
      <c r="K8" s="1131"/>
    </row>
    <row r="9" spans="1:11" ht="15.75" x14ac:dyDescent="0.25">
      <c r="A9" s="1126" t="s">
        <v>611</v>
      </c>
      <c r="B9" s="1127"/>
      <c r="C9" s="1127"/>
      <c r="D9" s="1127"/>
      <c r="E9" s="1127"/>
      <c r="F9" s="1127"/>
      <c r="G9" s="1127"/>
      <c r="H9" s="1127"/>
      <c r="I9" s="1127"/>
      <c r="J9" s="1127"/>
      <c r="K9" s="1128"/>
    </row>
    <row r="10" spans="1:11" ht="21" customHeight="1" x14ac:dyDescent="0.25">
      <c r="A10" s="1132" t="s">
        <v>615</v>
      </c>
      <c r="B10" s="1133"/>
      <c r="C10" s="1133"/>
      <c r="D10" s="1133"/>
      <c r="E10" s="1133"/>
      <c r="F10" s="1133"/>
      <c r="G10" s="1133"/>
      <c r="H10" s="1133"/>
      <c r="I10" s="1133"/>
      <c r="J10" s="1133"/>
      <c r="K10" s="1134"/>
    </row>
    <row r="11" spans="1:11" ht="36" customHeight="1" x14ac:dyDescent="0.25">
      <c r="A11" s="1132" t="s">
        <v>889</v>
      </c>
      <c r="B11" s="1133"/>
      <c r="C11" s="1133"/>
      <c r="D11" s="1133"/>
      <c r="E11" s="1133"/>
      <c r="F11" s="1133"/>
      <c r="G11" s="1133"/>
      <c r="H11" s="1133"/>
      <c r="I11" s="1133"/>
      <c r="J11" s="1133"/>
      <c r="K11" s="1134"/>
    </row>
    <row r="12" spans="1:11" x14ac:dyDescent="0.25">
      <c r="A12" s="1120"/>
      <c r="B12" s="1121"/>
      <c r="C12" s="1121"/>
      <c r="D12" s="1121"/>
      <c r="E12" s="1121"/>
      <c r="F12" s="1121"/>
      <c r="G12" s="1121"/>
      <c r="H12" s="1121"/>
      <c r="I12" s="1121"/>
      <c r="J12" s="1121"/>
      <c r="K12" s="1122"/>
    </row>
    <row r="13" spans="1:11" ht="15.75" x14ac:dyDescent="0.25">
      <c r="A13" s="1123" t="s">
        <v>612</v>
      </c>
      <c r="B13" s="1124"/>
      <c r="C13" s="1124"/>
      <c r="D13" s="1124"/>
      <c r="E13" s="1124"/>
      <c r="F13" s="1124"/>
      <c r="G13" s="1124"/>
      <c r="H13" s="1124"/>
      <c r="I13" s="1124"/>
      <c r="J13" s="1124"/>
      <c r="K13" s="1125"/>
    </row>
    <row r="14" spans="1:11" ht="35.25" customHeight="1" x14ac:dyDescent="0.25">
      <c r="A14" s="1117" t="s">
        <v>613</v>
      </c>
      <c r="B14" s="1118"/>
      <c r="C14" s="1118"/>
      <c r="D14" s="1118"/>
      <c r="E14" s="1118"/>
      <c r="F14" s="1118"/>
      <c r="G14" s="1118"/>
      <c r="H14" s="1118"/>
      <c r="I14" s="1118"/>
      <c r="J14" s="1118"/>
      <c r="K14" s="1119"/>
    </row>
  </sheetData>
  <sheetProtection sheet="1" objects="1" scenarios="1"/>
  <mergeCells count="23">
    <mergeCell ref="A14:K14"/>
    <mergeCell ref="A12:K12"/>
    <mergeCell ref="A13:K13"/>
    <mergeCell ref="A7:K7"/>
    <mergeCell ref="A8:K8"/>
    <mergeCell ref="A9:K9"/>
    <mergeCell ref="A10:K10"/>
    <mergeCell ref="A11:K11"/>
    <mergeCell ref="A5:B5"/>
    <mergeCell ref="C5:F5"/>
    <mergeCell ref="G5:K5"/>
    <mergeCell ref="A6:B6"/>
    <mergeCell ref="C6:F6"/>
    <mergeCell ref="G6:K6"/>
    <mergeCell ref="A4:B4"/>
    <mergeCell ref="C4:F4"/>
    <mergeCell ref="G4:H4"/>
    <mergeCell ref="I4:K4"/>
    <mergeCell ref="A2:K2"/>
    <mergeCell ref="A3:B3"/>
    <mergeCell ref="C3:F3"/>
    <mergeCell ref="G3:H3"/>
    <mergeCell ref="I3:K3"/>
  </mergeCells>
  <hyperlinks>
    <hyperlink ref="C5" r:id="rId1" xr:uid="{10EAD3B2-563B-41A5-B31E-FC2F36AF4D9D}"/>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6F0B5-2202-4DBF-984C-C01F13C3E348}">
  <sheetPr codeName="Sheet7">
    <tabColor rgb="FFFFFF00"/>
  </sheetPr>
  <dimension ref="A1:W106"/>
  <sheetViews>
    <sheetView zoomScale="90" zoomScaleNormal="90" workbookViewId="0">
      <selection activeCell="I10" sqref="I10"/>
    </sheetView>
  </sheetViews>
  <sheetFormatPr defaultColWidth="9.140625" defaultRowHeight="15.75" x14ac:dyDescent="0.25"/>
  <cols>
    <col min="1" max="1" width="1.7109375" style="445" customWidth="1"/>
    <col min="2" max="2" width="6.7109375" style="445" customWidth="1"/>
    <col min="3" max="3" width="1.7109375" style="445" customWidth="1"/>
    <col min="4" max="4" width="56" style="445" customWidth="1"/>
    <col min="5" max="5" width="24.85546875" style="445" customWidth="1"/>
    <col min="6" max="6" width="18.28515625" style="445" customWidth="1"/>
    <col min="7" max="7" width="13.28515625" customWidth="1"/>
    <col min="8" max="8" width="11.42578125" customWidth="1"/>
    <col min="9" max="9" width="55.140625" style="445" customWidth="1"/>
    <col min="10" max="10" width="12" style="445" customWidth="1"/>
    <col min="11" max="11" width="16.42578125" style="445" customWidth="1"/>
    <col min="12" max="12" width="12.85546875" style="445" customWidth="1"/>
    <col min="13" max="14" width="14.5703125" style="445" customWidth="1"/>
    <col min="15" max="16" width="9.140625" style="445"/>
    <col min="17" max="17" width="30.7109375" style="445" customWidth="1"/>
    <col min="18" max="19" width="9.140625" style="445"/>
    <col min="20" max="21" width="16" style="445" customWidth="1"/>
    <col min="22" max="16384" width="9.140625" style="445"/>
  </cols>
  <sheetData>
    <row r="1" spans="1:23" ht="16.5" thickBot="1" x14ac:dyDescent="0.3">
      <c r="G1" s="445"/>
      <c r="H1" s="445"/>
      <c r="M1" s="647" t="s">
        <v>382</v>
      </c>
      <c r="N1" s="400"/>
    </row>
    <row r="2" spans="1:23" x14ac:dyDescent="0.25">
      <c r="A2"/>
      <c r="B2"/>
      <c r="C2"/>
      <c r="D2" s="646" t="s">
        <v>738</v>
      </c>
      <c r="E2" s="646"/>
      <c r="F2" s="646"/>
      <c r="G2" s="646"/>
      <c r="H2" s="646"/>
      <c r="I2"/>
      <c r="J2"/>
      <c r="K2"/>
      <c r="L2"/>
      <c r="M2" s="400" t="s">
        <v>379</v>
      </c>
      <c r="N2" s="648"/>
      <c r="O2"/>
      <c r="P2"/>
      <c r="Q2"/>
      <c r="R2"/>
      <c r="S2"/>
      <c r="T2"/>
      <c r="U2"/>
      <c r="V2"/>
      <c r="W2"/>
    </row>
    <row r="3" spans="1:23" customFormat="1" ht="16.5" thickBot="1" x14ac:dyDescent="0.3">
      <c r="D3" s="875" t="s">
        <v>739</v>
      </c>
      <c r="E3" s="875" t="s">
        <v>193</v>
      </c>
      <c r="F3" s="875" t="s">
        <v>740</v>
      </c>
      <c r="H3" s="108"/>
      <c r="I3" s="108"/>
      <c r="J3" s="108"/>
      <c r="K3" s="108"/>
      <c r="L3" s="445"/>
      <c r="M3" s="445"/>
      <c r="N3" s="445"/>
      <c r="Q3" s="417">
        <f>'Financial Inputs'!G10</f>
        <v>212511.15980986951</v>
      </c>
    </row>
    <row r="4" spans="1:23" customFormat="1" x14ac:dyDescent="0.25">
      <c r="D4" s="986" t="s">
        <v>580</v>
      </c>
      <c r="E4" s="987" t="s">
        <v>360</v>
      </c>
      <c r="F4" s="854">
        <v>8000000</v>
      </c>
      <c r="G4" s="652" t="s">
        <v>7</v>
      </c>
      <c r="H4" s="217" t="str">
        <f>IF($Q$3&lt;&gt;$Q$4,"Note:  This cell is not active.  Enter the biogas volume in the Financial Inputs sheet and the manure volume in the Nutrient Inputs sheet","")</f>
        <v/>
      </c>
      <c r="I4" s="108"/>
      <c r="J4" s="400"/>
      <c r="K4" s="108"/>
      <c r="L4" s="445"/>
      <c r="M4" s="445"/>
      <c r="N4" s="445"/>
      <c r="Q4" s="971">
        <f>$F$4*$F$5/365+$F$6*$F$7/365+'Financial Inputs'!$G$26*Switchgrass_Key_Inputs!$L$22*Switchgrass_Key_Inputs!$D$28/365</f>
        <v>212511.15980986951</v>
      </c>
    </row>
    <row r="5" spans="1:23" customFormat="1" x14ac:dyDescent="0.25">
      <c r="D5" s="986" t="s">
        <v>750</v>
      </c>
      <c r="E5" s="987" t="s">
        <v>804</v>
      </c>
      <c r="F5" s="970">
        <v>2.5499999999999998</v>
      </c>
      <c r="G5" s="652"/>
      <c r="H5" s="217" t="str">
        <f t="shared" ref="H5:H7" si="0">IF($Q$3&lt;&gt;$Q$4,"Note:  This cell is not active.  Enter the biogas volume in the Financial Inputs sheet and the manure volume in the Nutrient Inputs sheet","")</f>
        <v/>
      </c>
      <c r="I5" s="108"/>
      <c r="J5" s="400"/>
      <c r="K5" s="108"/>
      <c r="L5" s="445"/>
      <c r="M5" s="445"/>
      <c r="N5" s="445"/>
    </row>
    <row r="6" spans="1:23" x14ac:dyDescent="0.25">
      <c r="A6"/>
      <c r="D6" s="986" t="s">
        <v>636</v>
      </c>
      <c r="E6" s="987" t="s">
        <v>399</v>
      </c>
      <c r="F6" s="854">
        <v>18250</v>
      </c>
      <c r="G6" s="652" t="s">
        <v>7</v>
      </c>
      <c r="H6" s="217" t="str">
        <f t="shared" si="0"/>
        <v/>
      </c>
    </row>
    <row r="7" spans="1:23" x14ac:dyDescent="0.25">
      <c r="A7"/>
      <c r="D7" s="986" t="s">
        <v>751</v>
      </c>
      <c r="E7" s="987" t="s">
        <v>803</v>
      </c>
      <c r="F7" s="854">
        <v>2540</v>
      </c>
      <c r="G7" s="652"/>
      <c r="H7" s="217" t="str">
        <f t="shared" si="0"/>
        <v/>
      </c>
      <c r="I7" s="933"/>
    </row>
    <row r="8" spans="1:23" x14ac:dyDescent="0.25">
      <c r="A8"/>
      <c r="D8" s="986" t="s">
        <v>578</v>
      </c>
      <c r="E8" s="987" t="s">
        <v>283</v>
      </c>
      <c r="F8" s="861">
        <v>0.09</v>
      </c>
      <c r="G8" s="652" t="s">
        <v>7</v>
      </c>
      <c r="I8" s="933"/>
    </row>
    <row r="9" spans="1:23" x14ac:dyDescent="0.25">
      <c r="A9"/>
      <c r="D9" s="986" t="s">
        <v>567</v>
      </c>
      <c r="E9" s="987" t="s">
        <v>264</v>
      </c>
      <c r="F9" s="862">
        <v>10</v>
      </c>
      <c r="G9" s="652" t="s">
        <v>7</v>
      </c>
      <c r="I9" s="933"/>
    </row>
    <row r="10" spans="1:23" x14ac:dyDescent="0.25">
      <c r="A10"/>
      <c r="D10" s="1036"/>
      <c r="E10" s="1037"/>
      <c r="F10" s="1039"/>
      <c r="G10" s="1038"/>
      <c r="I10" s="933"/>
    </row>
    <row r="11" spans="1:23" x14ac:dyDescent="0.25">
      <c r="A11"/>
      <c r="D11" s="988" t="s">
        <v>628</v>
      </c>
      <c r="E11" s="989" t="s">
        <v>705</v>
      </c>
      <c r="F11" s="854">
        <v>1500</v>
      </c>
      <c r="G11" s="9" t="s">
        <v>7</v>
      </c>
      <c r="I11" s="881"/>
    </row>
    <row r="12" spans="1:23" ht="16.5" thickBot="1" x14ac:dyDescent="0.3">
      <c r="A12"/>
      <c r="D12" s="988" t="s">
        <v>748</v>
      </c>
      <c r="E12" s="990" t="s">
        <v>749</v>
      </c>
      <c r="F12" s="859">
        <v>1</v>
      </c>
      <c r="G12" s="9" t="s">
        <v>7</v>
      </c>
    </row>
    <row r="13" spans="1:23" ht="16.5" thickBot="1" x14ac:dyDescent="0.3">
      <c r="A13"/>
      <c r="D13" s="991" t="s">
        <v>714</v>
      </c>
      <c r="E13" s="992"/>
      <c r="F13" s="880" t="s">
        <v>9</v>
      </c>
    </row>
    <row r="14" spans="1:23" x14ac:dyDescent="0.25">
      <c r="A14"/>
      <c r="D14" s="993" t="s">
        <v>376</v>
      </c>
      <c r="E14" s="994"/>
      <c r="F14" s="880" t="s">
        <v>9</v>
      </c>
    </row>
    <row r="15" spans="1:23" x14ac:dyDescent="0.25">
      <c r="A15"/>
      <c r="D15" s="986" t="s">
        <v>785</v>
      </c>
      <c r="E15" s="987" t="s">
        <v>446</v>
      </c>
      <c r="F15" s="854">
        <v>500</v>
      </c>
      <c r="G15" s="1059"/>
    </row>
    <row r="16" spans="1:23" ht="16.5" thickBot="1" x14ac:dyDescent="0.3">
      <c r="A16"/>
      <c r="D16" s="1058" t="s">
        <v>890</v>
      </c>
      <c r="E16" s="662" t="s">
        <v>448</v>
      </c>
      <c r="F16" s="867">
        <v>0</v>
      </c>
      <c r="G16" s="1060"/>
    </row>
    <row r="17" spans="1:13" x14ac:dyDescent="0.25">
      <c r="A17"/>
      <c r="H17" s="923"/>
      <c r="I17" s="924"/>
      <c r="J17" s="924"/>
      <c r="K17" s="924"/>
      <c r="L17" s="924"/>
      <c r="M17" s="925"/>
    </row>
    <row r="18" spans="1:13" x14ac:dyDescent="0.25">
      <c r="A18"/>
      <c r="H18" s="926"/>
      <c r="I18" s="927"/>
      <c r="J18" s="927"/>
      <c r="K18" s="927"/>
      <c r="L18" s="927"/>
      <c r="M18" s="928"/>
    </row>
    <row r="19" spans="1:13" x14ac:dyDescent="0.25">
      <c r="A19"/>
      <c r="D19" s="1033" t="s">
        <v>741</v>
      </c>
      <c r="E19" s="1034"/>
      <c r="F19" s="1034"/>
      <c r="G19" s="1035"/>
      <c r="H19" s="436"/>
      <c r="I19" s="927"/>
      <c r="J19" s="927"/>
      <c r="K19" s="927"/>
      <c r="L19" s="927"/>
      <c r="M19" s="928"/>
    </row>
    <row r="20" spans="1:13" x14ac:dyDescent="0.25">
      <c r="A20"/>
      <c r="D20" s="574" t="s">
        <v>798</v>
      </c>
      <c r="F20" s="409">
        <f>'Financial Inputs'!G41</f>
        <v>3869061.598421386</v>
      </c>
      <c r="H20" s="926"/>
      <c r="I20" s="927"/>
      <c r="J20" s="927"/>
      <c r="K20" s="927"/>
      <c r="L20" s="927"/>
      <c r="M20" s="928"/>
    </row>
    <row r="21" spans="1:13" x14ac:dyDescent="0.25">
      <c r="A21"/>
      <c r="H21" s="926"/>
      <c r="I21" s="927"/>
      <c r="J21" s="927"/>
      <c r="K21" s="927"/>
      <c r="L21" s="927"/>
      <c r="M21" s="928"/>
    </row>
    <row r="22" spans="1:13" x14ac:dyDescent="0.25">
      <c r="A22"/>
      <c r="D22" s="411"/>
      <c r="E22"/>
      <c r="F22" s="473"/>
      <c r="H22" s="926"/>
      <c r="I22" s="927"/>
      <c r="J22" s="927"/>
      <c r="K22" s="927"/>
      <c r="L22" s="927"/>
      <c r="M22" s="928"/>
    </row>
    <row r="23" spans="1:13" x14ac:dyDescent="0.25">
      <c r="A23"/>
      <c r="D23" s="411" t="str">
        <f>'Financial Inputs'!T122</f>
        <v>After-Tax Equity IRR (over defined Useful Life)</v>
      </c>
      <c r="E23"/>
      <c r="F23" s="1104">
        <f ca="1">'Financial Inputs'!X122</f>
        <v>0.1288255256694637</v>
      </c>
      <c r="H23" s="926"/>
      <c r="I23" s="927"/>
      <c r="J23" s="927"/>
      <c r="K23" s="927"/>
      <c r="L23" s="927"/>
      <c r="M23" s="928"/>
    </row>
    <row r="24" spans="1:13" x14ac:dyDescent="0.25">
      <c r="A24"/>
      <c r="D24" s="411" t="str">
        <f>'Financial Inputs'!T123</f>
        <v>Net present value @ 10.0% (over defined useful life)</v>
      </c>
      <c r="E24"/>
      <c r="F24" s="409">
        <f ca="1">'Financial Inputs'!X123</f>
        <v>484414.39860387892</v>
      </c>
      <c r="H24" s="926"/>
      <c r="I24" s="927"/>
      <c r="J24" s="927"/>
      <c r="K24" s="927"/>
      <c r="L24" s="927"/>
      <c r="M24" s="928"/>
    </row>
    <row r="25" spans="1:13" ht="17.25" x14ac:dyDescent="0.25">
      <c r="A25"/>
      <c r="D25" s="411" t="s">
        <v>847</v>
      </c>
      <c r="E25"/>
      <c r="F25" s="409">
        <f ca="1">'Financial Inputs'!X124</f>
        <v>49739.428291780685</v>
      </c>
      <c r="H25" s="926"/>
      <c r="I25" s="927"/>
      <c r="J25" s="927"/>
      <c r="K25" s="927"/>
      <c r="L25" s="927"/>
      <c r="M25" s="928"/>
    </row>
    <row r="26" spans="1:13" x14ac:dyDescent="0.25">
      <c r="H26" s="926"/>
      <c r="I26" s="927"/>
      <c r="J26" s="927"/>
      <c r="K26" s="927"/>
      <c r="L26" s="927"/>
      <c r="M26" s="928"/>
    </row>
    <row r="27" spans="1:13" ht="18" x14ac:dyDescent="0.25">
      <c r="A27"/>
      <c r="D27" s="448" t="s">
        <v>742</v>
      </c>
      <c r="E27" s="978" t="s">
        <v>843</v>
      </c>
      <c r="F27" s="979" t="s">
        <v>845</v>
      </c>
      <c r="G27" s="866" t="s">
        <v>7</v>
      </c>
      <c r="H27" s="926"/>
      <c r="I27" s="927"/>
      <c r="J27" s="927"/>
      <c r="K27" s="927"/>
      <c r="L27" s="927"/>
      <c r="M27" s="928"/>
    </row>
    <row r="28" spans="1:13" x14ac:dyDescent="0.25">
      <c r="A28"/>
      <c r="D28" t="str">
        <f>'Detailed Cash Flow'!B90</f>
        <v>Electricity</v>
      </c>
      <c r="E28" s="409">
        <f>'Detailed Cash Flow'!E90</f>
        <v>258948.34388742479</v>
      </c>
      <c r="F28" s="409">
        <f>'Detailed Cash Flow'!C90</f>
        <v>2521908.8876103079</v>
      </c>
      <c r="H28" s="926"/>
      <c r="I28" s="927"/>
      <c r="J28" s="927"/>
      <c r="K28" s="927"/>
      <c r="L28" s="927"/>
      <c r="M28" s="928"/>
    </row>
    <row r="29" spans="1:13" x14ac:dyDescent="0.25">
      <c r="A29"/>
      <c r="D29" t="str">
        <f>'Detailed Cash Flow'!B91</f>
        <v>Tipping Fees</v>
      </c>
      <c r="E29" s="409">
        <f>'Detailed Cash Flow'!E91</f>
        <v>182500.00000000017</v>
      </c>
      <c r="F29" s="409">
        <f>'Detailed Cash Flow'!C91</f>
        <v>1777375.2288949569</v>
      </c>
      <c r="H29" s="926"/>
      <c r="I29" s="927"/>
      <c r="J29" s="927"/>
      <c r="K29" s="927"/>
      <c r="L29" s="927"/>
      <c r="M29" s="928"/>
    </row>
    <row r="30" spans="1:13" x14ac:dyDescent="0.25">
      <c r="A30"/>
      <c r="D30" s="574" t="s">
        <v>779</v>
      </c>
      <c r="E30" s="409">
        <f>'Detailed Cash Flow'!E93</f>
        <v>64837.798963558373</v>
      </c>
      <c r="F30" s="409">
        <f>'Detailed Cash Flow'!C93</f>
        <v>631458.06999397068</v>
      </c>
      <c r="H30" s="926"/>
      <c r="I30" s="927"/>
      <c r="J30" s="927"/>
      <c r="K30" s="927"/>
      <c r="L30" s="927"/>
      <c r="M30" s="928"/>
    </row>
    <row r="31" spans="1:13" x14ac:dyDescent="0.25">
      <c r="A31"/>
      <c r="D31" t="str">
        <f>'Detailed Cash Flow'!B92</f>
        <v>Waste Heat</v>
      </c>
      <c r="E31" s="409">
        <f>'Detailed Cash Flow'!E92</f>
        <v>42576.582840351155</v>
      </c>
      <c r="F31" s="409">
        <f>'Detailed Cash Flow'!C92</f>
        <v>414655.14340511861</v>
      </c>
      <c r="H31" s="926"/>
      <c r="I31" s="927"/>
      <c r="J31" s="927"/>
      <c r="K31" s="927"/>
      <c r="L31" s="927"/>
      <c r="M31" s="928"/>
    </row>
    <row r="32" spans="1:13" x14ac:dyDescent="0.25">
      <c r="A32"/>
      <c r="D32" t="str">
        <f>'Detailed Cash Flow'!B94</f>
        <v>Bedding value</v>
      </c>
      <c r="E32" s="409">
        <f>'Detailed Cash Flow'!E94</f>
        <v>125350.22533913112</v>
      </c>
      <c r="F32" s="409">
        <f>'Detailed Cash Flow'!C94</f>
        <v>1220791.1531735472</v>
      </c>
      <c r="H32" s="926"/>
      <c r="I32" s="927"/>
      <c r="J32" s="927"/>
      <c r="K32" s="927"/>
      <c r="L32" s="927"/>
      <c r="M32" s="928"/>
    </row>
    <row r="33" spans="1:19" x14ac:dyDescent="0.25">
      <c r="A33"/>
      <c r="D33" t="str">
        <f>'Detailed Cash Flow'!B95</f>
        <v>Govt incentives</v>
      </c>
      <c r="E33" s="409">
        <f>'Detailed Cash Flow'!E95</f>
        <v>55799.590641265808</v>
      </c>
      <c r="F33" s="409">
        <f>'Detailed Cash Flow'!C95</f>
        <v>543434.57637405267</v>
      </c>
      <c r="H33" s="926"/>
      <c r="I33" s="927"/>
      <c r="J33" s="927"/>
      <c r="K33" s="927"/>
      <c r="L33" s="927"/>
      <c r="M33" s="928"/>
    </row>
    <row r="34" spans="1:19" x14ac:dyDescent="0.25">
      <c r="A34"/>
      <c r="D34" t="str">
        <f>'Detailed Cash Flow'!B96</f>
        <v>Total cash inflows</v>
      </c>
      <c r="E34" s="409">
        <f>'Detailed Cash Flow'!E96</f>
        <v>730012.54167173163</v>
      </c>
      <c r="F34" s="409">
        <f>'Detailed Cash Flow'!C96</f>
        <v>7109623.0594519554</v>
      </c>
      <c r="H34" s="926"/>
      <c r="I34" s="927"/>
      <c r="J34" s="927"/>
      <c r="K34" s="927"/>
      <c r="L34" s="927"/>
      <c r="M34" s="928"/>
    </row>
    <row r="35" spans="1:19" x14ac:dyDescent="0.25">
      <c r="A35"/>
      <c r="D35"/>
      <c r="E35"/>
      <c r="F35"/>
      <c r="H35" s="926"/>
      <c r="I35" s="927"/>
      <c r="J35" s="927"/>
      <c r="K35" s="927"/>
      <c r="L35" s="927"/>
      <c r="M35" s="928"/>
    </row>
    <row r="36" spans="1:19" x14ac:dyDescent="0.25">
      <c r="D36" s="448" t="s">
        <v>743</v>
      </c>
      <c r="E36"/>
      <c r="F36"/>
      <c r="H36" s="926"/>
      <c r="I36" s="927"/>
      <c r="J36" s="927"/>
      <c r="K36" s="927"/>
      <c r="L36" s="927"/>
      <c r="M36" s="928"/>
    </row>
    <row r="37" spans="1:19" x14ac:dyDescent="0.25">
      <c r="A37"/>
      <c r="D37" t="str">
        <f>'Detailed Cash Flow'!B98</f>
        <v>Initial equity</v>
      </c>
      <c r="E37" s="409">
        <f>'Detailed Cash Flow'!F98</f>
        <v>273844.00451495004</v>
      </c>
      <c r="F37" s="409">
        <f>'Detailed Cash Flow'!D98</f>
        <v>2666978.3572946326</v>
      </c>
      <c r="H37" s="926"/>
      <c r="I37" s="927"/>
      <c r="J37" s="927"/>
      <c r="K37" s="927"/>
      <c r="L37" s="927"/>
      <c r="M37" s="928"/>
    </row>
    <row r="38" spans="1:19" x14ac:dyDescent="0.25">
      <c r="A38"/>
      <c r="D38" t="str">
        <f>'Detailed Cash Flow'!B99</f>
        <v>Interest</v>
      </c>
      <c r="E38" s="409">
        <f>'Detailed Cash Flow'!F99</f>
        <v>31357.899657242728</v>
      </c>
      <c r="F38" s="409">
        <f>'Detailed Cash Flow'!D99</f>
        <v>305395.91277236619</v>
      </c>
      <c r="H38" s="926"/>
      <c r="I38" s="927"/>
      <c r="J38" s="927"/>
      <c r="K38" s="927"/>
      <c r="L38" s="927"/>
      <c r="M38" s="928"/>
    </row>
    <row r="39" spans="1:19" x14ac:dyDescent="0.25">
      <c r="A39"/>
      <c r="D39" t="str">
        <f>'Detailed Cash Flow'!B100</f>
        <v>Principal</v>
      </c>
      <c r="E39" s="409">
        <f>'Detailed Cash Flow'!F100</f>
        <v>52408.631451086709</v>
      </c>
      <c r="F39" s="409">
        <f>'Detailed Cash Flow'!D100</f>
        <v>510409.88121340598</v>
      </c>
      <c r="H39" s="926"/>
      <c r="I39" s="927"/>
      <c r="J39" s="927"/>
      <c r="K39" s="927"/>
      <c r="L39" s="927"/>
      <c r="M39" s="928"/>
    </row>
    <row r="40" spans="1:19" x14ac:dyDescent="0.25">
      <c r="A40"/>
      <c r="D40" t="s">
        <v>811</v>
      </c>
      <c r="E40" s="409">
        <f>'Detailed Cash Flow'!F101</f>
        <v>39566.839417554052</v>
      </c>
      <c r="F40" s="409">
        <f>'Detailed Cash Flow'!D101</f>
        <v>385343.12474753469</v>
      </c>
      <c r="H40" s="926"/>
      <c r="I40" s="927"/>
      <c r="J40" s="927"/>
      <c r="K40" s="927"/>
      <c r="L40" s="927"/>
      <c r="M40" s="928"/>
    </row>
    <row r="41" spans="1:19" x14ac:dyDescent="0.25">
      <c r="D41" t="str">
        <f>'Detailed Cash Flow'!B97</f>
        <v>O&amp;M</v>
      </c>
      <c r="E41" s="409">
        <f>'Detailed Cash Flow'!F97</f>
        <v>243113.13952253672</v>
      </c>
      <c r="F41" s="409">
        <f>'Detailed Cash Flow'!D97</f>
        <v>2367689.1616780269</v>
      </c>
      <c r="H41" s="926"/>
      <c r="I41" s="927"/>
      <c r="J41" s="927"/>
      <c r="K41" s="927"/>
      <c r="L41" s="927"/>
      <c r="M41" s="928"/>
    </row>
    <row r="42" spans="1:19" x14ac:dyDescent="0.25">
      <c r="D42" t="str">
        <f>'Detailed Cash Flow'!B102</f>
        <v>Taxes</v>
      </c>
      <c r="E42" s="409">
        <f ca="1">'Detailed Cash Flow'!F102</f>
        <v>39982.598816580365</v>
      </c>
      <c r="F42" s="409">
        <f ca="1">'Detailed Cash Flow'!D102</f>
        <v>389392.22314210783</v>
      </c>
      <c r="H42" s="926"/>
      <c r="I42" s="927"/>
      <c r="J42" s="927"/>
      <c r="K42" s="927"/>
      <c r="L42" s="927"/>
      <c r="M42" s="928"/>
    </row>
    <row r="43" spans="1:19" x14ac:dyDescent="0.25">
      <c r="D43" t="str">
        <f>'Detailed Cash Flow'!B103</f>
        <v>Total cash outflows</v>
      </c>
      <c r="E43" s="409">
        <f ca="1">'Detailed Cash Flow'!F103</f>
        <v>680273.11337995064</v>
      </c>
      <c r="F43" s="409">
        <f ca="1">'Detailed Cash Flow'!D103</f>
        <v>6625208.6608480737</v>
      </c>
      <c r="H43" s="926"/>
      <c r="I43" s="927"/>
      <c r="J43" s="927"/>
      <c r="K43" s="927"/>
      <c r="L43" s="927"/>
      <c r="M43" s="928"/>
    </row>
    <row r="44" spans="1:19" x14ac:dyDescent="0.25">
      <c r="D44"/>
      <c r="E44"/>
      <c r="F44"/>
      <c r="H44" s="926"/>
      <c r="I44" s="927"/>
      <c r="J44" s="927"/>
      <c r="K44" s="927"/>
      <c r="L44" s="927"/>
      <c r="M44" s="928"/>
    </row>
    <row r="45" spans="1:19" x14ac:dyDescent="0.25">
      <c r="D45" s="424" t="str">
        <f>'Detailed Cash Flow'!B104</f>
        <v>Net cash flow</v>
      </c>
      <c r="E45" s="409">
        <f ca="1">'Detailed Cash Flow'!F104</f>
        <v>49739.428291780991</v>
      </c>
      <c r="F45" s="409">
        <f ca="1">'Detailed Cash Flow'!D104</f>
        <v>484414.39860388171</v>
      </c>
      <c r="H45" s="926"/>
      <c r="I45" s="927"/>
      <c r="J45" s="927"/>
      <c r="K45" s="927"/>
      <c r="L45" s="927"/>
      <c r="M45" s="928"/>
    </row>
    <row r="46" spans="1:19" x14ac:dyDescent="0.25">
      <c r="H46" s="926"/>
      <c r="I46" s="927"/>
      <c r="J46" s="927"/>
      <c r="K46" s="927"/>
      <c r="L46" s="927"/>
      <c r="M46" s="928"/>
      <c r="Q46" s="452"/>
      <c r="R46" s="789"/>
      <c r="S46" s="452"/>
    </row>
    <row r="47" spans="1:19" x14ac:dyDescent="0.25">
      <c r="E47" s="933"/>
      <c r="F47" s="933"/>
      <c r="H47" s="926"/>
      <c r="I47" s="927"/>
      <c r="J47" s="927"/>
      <c r="K47" s="927"/>
      <c r="L47" s="927"/>
      <c r="M47" s="928"/>
      <c r="Q47" s="452"/>
      <c r="R47" s="789"/>
      <c r="S47" s="452"/>
    </row>
    <row r="48" spans="1:19" x14ac:dyDescent="0.25">
      <c r="D48" s="593" t="s">
        <v>842</v>
      </c>
      <c r="E48" s="980">
        <f>E40+E41</f>
        <v>282679.97894009075</v>
      </c>
      <c r="H48" s="926"/>
      <c r="I48" s="927"/>
      <c r="J48" s="927"/>
      <c r="K48" s="927"/>
      <c r="L48" s="927"/>
      <c r="M48" s="928"/>
      <c r="Q48" s="452"/>
      <c r="R48" s="789"/>
      <c r="S48" s="452"/>
    </row>
    <row r="49" spans="4:19" x14ac:dyDescent="0.25">
      <c r="E49" s="933"/>
      <c r="H49" s="926"/>
      <c r="I49" s="927"/>
      <c r="J49" s="927"/>
      <c r="K49" s="927"/>
      <c r="L49" s="927"/>
      <c r="M49" s="928"/>
      <c r="Q49" s="452"/>
      <c r="R49" s="789"/>
      <c r="S49" s="452"/>
    </row>
    <row r="50" spans="4:19" ht="18" x14ac:dyDescent="0.25">
      <c r="D50" s="445" t="s">
        <v>917</v>
      </c>
      <c r="H50" s="926"/>
      <c r="I50" s="927"/>
      <c r="J50" s="927"/>
      <c r="K50" s="927"/>
      <c r="L50" s="927"/>
      <c r="M50" s="928"/>
      <c r="Q50" s="452"/>
      <c r="R50" s="789"/>
      <c r="S50" s="452"/>
    </row>
    <row r="51" spans="4:19" ht="16.5" thickBot="1" x14ac:dyDescent="0.3">
      <c r="D51" s="445" t="str">
        <f>" annual equivalents.  The cash flows increase over the defined life at an inflation rate of "&amp;FIXED('Financial Inputs'!G55*100,1)&amp;"%/year"</f>
        <v xml:space="preserve"> annual equivalents.  The cash flows increase over the defined life at an inflation rate of 2.0%/year</v>
      </c>
      <c r="H51" s="929"/>
      <c r="I51" s="930"/>
      <c r="J51" s="930"/>
      <c r="K51" s="930"/>
      <c r="L51" s="930"/>
      <c r="M51" s="931"/>
      <c r="Q51" s="452"/>
      <c r="R51" s="789"/>
      <c r="S51" s="452"/>
    </row>
    <row r="52" spans="4:19" x14ac:dyDescent="0.25">
      <c r="Q52" s="452"/>
      <c r="R52" s="789"/>
      <c r="S52" s="452"/>
    </row>
    <row r="53" spans="4:19" x14ac:dyDescent="0.25">
      <c r="Q53" s="452"/>
      <c r="R53" s="789"/>
      <c r="S53" s="452"/>
    </row>
    <row r="54" spans="4:19" x14ac:dyDescent="0.25">
      <c r="I54" s="964" t="str">
        <f>"Actual year 1 cash flows except that occasional cash flows such as engine replacement are converted to"&amp;D51</f>
        <v>Actual year 1 cash flows except that occasional cash flows such as engine replacement are converted to annual equivalents.  The cash flows increase over the defined life at an inflation rate of 2.0%/year</v>
      </c>
      <c r="Q54" s="452"/>
      <c r="R54" s="789"/>
      <c r="S54" s="452"/>
    </row>
    <row r="55" spans="4:19" x14ac:dyDescent="0.25">
      <c r="Q55" s="452"/>
      <c r="R55" s="789"/>
      <c r="S55" s="452"/>
    </row>
    <row r="56" spans="4:19" x14ac:dyDescent="0.25">
      <c r="I56"/>
      <c r="J56"/>
      <c r="K56"/>
      <c r="L56"/>
      <c r="M56"/>
      <c r="Q56" s="452"/>
      <c r="R56" s="789"/>
      <c r="S56" s="452"/>
    </row>
    <row r="57" spans="4:19" x14ac:dyDescent="0.25">
      <c r="Q57" s="452"/>
      <c r="R57" s="789"/>
      <c r="S57" s="452"/>
    </row>
    <row r="58" spans="4:19" x14ac:dyDescent="0.25">
      <c r="Q58" s="452"/>
      <c r="R58" s="789"/>
      <c r="S58" s="452"/>
    </row>
    <row r="59" spans="4:19" x14ac:dyDescent="0.25">
      <c r="Q59" s="452"/>
      <c r="R59" s="789"/>
      <c r="S59" s="452"/>
    </row>
    <row r="60" spans="4:19" x14ac:dyDescent="0.25">
      <c r="Q60" s="452"/>
      <c r="R60" s="789"/>
      <c r="S60" s="452"/>
    </row>
    <row r="61" spans="4:19" x14ac:dyDescent="0.25">
      <c r="Q61" s="452"/>
      <c r="R61" s="789"/>
      <c r="S61" s="452"/>
    </row>
    <row r="62" spans="4:19" x14ac:dyDescent="0.25">
      <c r="Q62" s="452"/>
      <c r="R62" s="789"/>
      <c r="S62" s="452"/>
    </row>
    <row r="63" spans="4:19" x14ac:dyDescent="0.25">
      <c r="Q63" s="452"/>
      <c r="R63" s="789"/>
      <c r="S63" s="452"/>
    </row>
    <row r="64" spans="4:19" x14ac:dyDescent="0.25">
      <c r="Q64" s="452"/>
      <c r="R64" s="789"/>
      <c r="S64" s="452"/>
    </row>
    <row r="65" spans="2:19" x14ac:dyDescent="0.25">
      <c r="Q65" s="452"/>
      <c r="R65" s="789"/>
      <c r="S65" s="452"/>
    </row>
    <row r="66" spans="2:19" x14ac:dyDescent="0.25">
      <c r="B66"/>
      <c r="C66" s="1"/>
      <c r="I66" s="383"/>
      <c r="J66" s="383"/>
      <c r="K66" s="383"/>
      <c r="L66" s="383"/>
      <c r="M66" s="383"/>
      <c r="Q66" s="452"/>
      <c r="R66" s="789"/>
      <c r="S66" s="452"/>
    </row>
    <row r="67" spans="2:19" x14ac:dyDescent="0.25">
      <c r="B67"/>
      <c r="C67" s="1"/>
      <c r="I67" s="383"/>
      <c r="J67" s="383"/>
      <c r="K67" s="383"/>
      <c r="L67" s="383"/>
      <c r="M67" s="383"/>
      <c r="Q67" s="452"/>
      <c r="R67" s="789"/>
      <c r="S67" s="452"/>
    </row>
    <row r="68" spans="2:19" x14ac:dyDescent="0.25">
      <c r="B68"/>
      <c r="C68" s="1"/>
      <c r="I68" s="383"/>
      <c r="J68" s="383"/>
      <c r="K68" s="383"/>
      <c r="L68" s="383"/>
      <c r="M68" s="383"/>
      <c r="Q68" s="452"/>
      <c r="R68" s="789"/>
      <c r="S68" s="452"/>
    </row>
    <row r="69" spans="2:19" x14ac:dyDescent="0.25">
      <c r="B69"/>
      <c r="C69" s="1"/>
      <c r="I69" s="383"/>
      <c r="J69" s="383"/>
      <c r="K69" s="383"/>
      <c r="L69" s="383"/>
      <c r="M69" s="383"/>
      <c r="Q69" s="452"/>
      <c r="R69" s="789"/>
      <c r="S69" s="452"/>
    </row>
    <row r="70" spans="2:19" x14ac:dyDescent="0.25">
      <c r="B70"/>
      <c r="C70" s="1"/>
      <c r="I70" s="383"/>
      <c r="J70" s="383"/>
      <c r="K70" s="383"/>
      <c r="L70" s="383"/>
      <c r="M70" s="383"/>
      <c r="Q70" s="452"/>
      <c r="R70" s="789"/>
      <c r="S70" s="452"/>
    </row>
    <row r="71" spans="2:19" x14ac:dyDescent="0.25">
      <c r="B71"/>
      <c r="C71" s="1"/>
      <c r="I71" s="383"/>
      <c r="J71" s="383"/>
      <c r="K71" s="383"/>
      <c r="L71" s="383"/>
      <c r="M71" s="383"/>
      <c r="Q71" s="452"/>
      <c r="R71" s="789"/>
      <c r="S71" s="452"/>
    </row>
    <row r="72" spans="2:19" x14ac:dyDescent="0.25">
      <c r="B72"/>
      <c r="C72" s="1"/>
      <c r="D72" s="1"/>
      <c r="E72" s="1"/>
      <c r="F72" s="1"/>
      <c r="G72" s="1"/>
      <c r="H72" s="1"/>
      <c r="I72" s="383"/>
      <c r="J72" s="383"/>
      <c r="K72" s="383"/>
      <c r="L72" s="383"/>
      <c r="M72" s="383"/>
      <c r="Q72" s="452"/>
      <c r="R72" s="789"/>
      <c r="S72" s="452"/>
    </row>
    <row r="73" spans="2:19" x14ac:dyDescent="0.25">
      <c r="I73" s="383"/>
      <c r="J73" s="383"/>
      <c r="K73" s="383"/>
      <c r="L73" s="383"/>
      <c r="M73" s="383"/>
      <c r="Q73" s="452"/>
      <c r="R73" s="789"/>
      <c r="S73" s="452"/>
    </row>
    <row r="74" spans="2:19" x14ac:dyDescent="0.25">
      <c r="I74" s="383"/>
      <c r="J74" s="383"/>
      <c r="K74" s="383"/>
      <c r="L74" s="383"/>
      <c r="M74" s="383"/>
      <c r="Q74" s="452"/>
      <c r="R74" s="789"/>
      <c r="S74" s="452"/>
    </row>
    <row r="75" spans="2:19" x14ac:dyDescent="0.25">
      <c r="I75" s="383"/>
      <c r="J75" s="383"/>
      <c r="K75" s="383"/>
      <c r="L75" s="383"/>
      <c r="M75" s="383"/>
      <c r="Q75" s="452"/>
      <c r="R75" s="789"/>
      <c r="S75" s="452"/>
    </row>
    <row r="76" spans="2:19" x14ac:dyDescent="0.25">
      <c r="I76" s="383"/>
      <c r="J76" s="383"/>
      <c r="K76" s="383"/>
      <c r="L76" s="383"/>
      <c r="M76" s="383"/>
      <c r="Q76" s="452"/>
      <c r="R76" s="789"/>
      <c r="S76" s="452"/>
    </row>
    <row r="77" spans="2:19" x14ac:dyDescent="0.25">
      <c r="I77" s="383"/>
      <c r="J77" s="383"/>
      <c r="K77" s="383"/>
      <c r="L77" s="383"/>
      <c r="M77" s="383"/>
      <c r="Q77" s="452"/>
      <c r="R77" s="789"/>
      <c r="S77" s="452"/>
    </row>
    <row r="78" spans="2:19" x14ac:dyDescent="0.25">
      <c r="I78" s="383"/>
      <c r="J78" s="383"/>
      <c r="K78" s="383"/>
      <c r="L78" s="383"/>
      <c r="M78" s="383"/>
      <c r="Q78" s="452"/>
      <c r="R78" s="789"/>
      <c r="S78" s="452"/>
    </row>
    <row r="79" spans="2:19" x14ac:dyDescent="0.25">
      <c r="I79" s="383"/>
      <c r="J79" s="383"/>
      <c r="K79" s="383"/>
      <c r="L79" s="383"/>
      <c r="M79" s="383"/>
      <c r="Q79" s="452"/>
      <c r="R79" s="789"/>
      <c r="S79" s="452"/>
    </row>
    <row r="80" spans="2:19" x14ac:dyDescent="0.25">
      <c r="I80" s="383"/>
      <c r="J80" s="383"/>
      <c r="K80" s="383"/>
      <c r="L80" s="383"/>
      <c r="M80" s="383"/>
      <c r="Q80" s="452"/>
      <c r="R80" s="789"/>
      <c r="S80" s="452"/>
    </row>
    <row r="81" spans="2:19" x14ac:dyDescent="0.25">
      <c r="I81" s="383"/>
      <c r="J81" s="383"/>
      <c r="K81" s="383"/>
      <c r="L81" s="383"/>
      <c r="M81" s="383"/>
      <c r="Q81" s="452"/>
      <c r="R81" s="789"/>
      <c r="S81" s="452"/>
    </row>
    <row r="82" spans="2:19" x14ac:dyDescent="0.25">
      <c r="B82"/>
      <c r="I82" s="383"/>
      <c r="J82" s="383"/>
      <c r="K82" s="383"/>
      <c r="L82" s="383"/>
      <c r="M82" s="383"/>
      <c r="Q82" s="452"/>
      <c r="R82" s="789"/>
      <c r="S82" s="452"/>
    </row>
    <row r="83" spans="2:19" x14ac:dyDescent="0.25">
      <c r="I83" s="383"/>
      <c r="J83" s="383"/>
      <c r="K83" s="383"/>
      <c r="L83" s="383"/>
      <c r="M83" s="383"/>
    </row>
    <row r="84" spans="2:19" x14ac:dyDescent="0.25">
      <c r="D84" s="645" t="s">
        <v>333</v>
      </c>
      <c r="E84" s="383"/>
      <c r="F84" s="383"/>
      <c r="G84" s="108"/>
      <c r="H84" s="108"/>
      <c r="I84" s="383"/>
      <c r="J84" s="383"/>
      <c r="K84" s="383"/>
      <c r="L84" s="383"/>
      <c r="M84" s="383"/>
    </row>
    <row r="85" spans="2:19" x14ac:dyDescent="0.25">
      <c r="D85" s="383" t="s">
        <v>334</v>
      </c>
      <c r="E85" s="383"/>
      <c r="F85" s="383"/>
      <c r="G85" s="108"/>
      <c r="H85" s="108"/>
      <c r="I85" s="383"/>
      <c r="J85" s="383"/>
      <c r="K85" s="383"/>
      <c r="L85" s="383"/>
      <c r="M85" s="383"/>
    </row>
    <row r="86" spans="2:19" x14ac:dyDescent="0.25">
      <c r="D86" s="383" t="s">
        <v>336</v>
      </c>
      <c r="E86" s="383"/>
      <c r="F86" s="383"/>
      <c r="G86" s="108"/>
      <c r="H86" s="108"/>
      <c r="I86" s="383"/>
      <c r="J86" s="383"/>
      <c r="K86" s="383"/>
      <c r="L86" s="383"/>
      <c r="M86" s="383"/>
    </row>
    <row r="87" spans="2:19" x14ac:dyDescent="0.25">
      <c r="D87" s="383" t="s">
        <v>335</v>
      </c>
      <c r="E87" s="383"/>
      <c r="F87" s="383"/>
      <c r="G87" s="108"/>
      <c r="H87" s="108"/>
      <c r="I87" s="383"/>
      <c r="J87" s="383"/>
      <c r="K87" s="383"/>
      <c r="L87" s="383"/>
      <c r="M87" s="383"/>
    </row>
    <row r="88" spans="2:19" x14ac:dyDescent="0.25">
      <c r="D88" s="383" t="s">
        <v>337</v>
      </c>
      <c r="E88" s="383"/>
      <c r="F88" s="383"/>
      <c r="G88" s="108"/>
      <c r="H88" s="108"/>
    </row>
    <row r="89" spans="2:19" x14ac:dyDescent="0.25">
      <c r="D89" s="383" t="s">
        <v>338</v>
      </c>
      <c r="E89" s="383"/>
      <c r="F89" s="383"/>
      <c r="G89" s="108"/>
      <c r="H89" s="108"/>
    </row>
    <row r="90" spans="2:19" x14ac:dyDescent="0.25">
      <c r="D90" s="383" t="s">
        <v>339</v>
      </c>
      <c r="E90" s="383"/>
      <c r="F90" s="383"/>
      <c r="G90" s="108"/>
      <c r="H90" s="108"/>
    </row>
    <row r="91" spans="2:19" x14ac:dyDescent="0.25">
      <c r="D91" s="383" t="s">
        <v>340</v>
      </c>
      <c r="E91" s="383"/>
      <c r="F91" s="383"/>
      <c r="G91" s="108"/>
      <c r="H91" s="108"/>
    </row>
    <row r="92" spans="2:19" x14ac:dyDescent="0.25">
      <c r="D92" s="383" t="s">
        <v>341</v>
      </c>
      <c r="E92" s="645"/>
      <c r="F92" s="383"/>
      <c r="G92" s="108"/>
      <c r="H92" s="108"/>
    </row>
    <row r="93" spans="2:19" x14ac:dyDescent="0.25">
      <c r="D93" s="383" t="s">
        <v>343</v>
      </c>
      <c r="E93" s="383"/>
      <c r="F93" s="383"/>
      <c r="G93" s="108"/>
      <c r="H93" s="108"/>
    </row>
    <row r="94" spans="2:19" x14ac:dyDescent="0.25">
      <c r="D94" s="383" t="s">
        <v>344</v>
      </c>
      <c r="E94" s="383"/>
      <c r="F94" s="383"/>
      <c r="G94" s="108"/>
      <c r="H94" s="108"/>
    </row>
    <row r="95" spans="2:19" x14ac:dyDescent="0.25">
      <c r="D95" s="383" t="s">
        <v>346</v>
      </c>
      <c r="E95" s="383"/>
      <c r="F95" s="383"/>
      <c r="G95" s="108"/>
      <c r="H95" s="108"/>
    </row>
    <row r="98" spans="17:19" x14ac:dyDescent="0.25">
      <c r="Q98" s="452" t="s">
        <v>639</v>
      </c>
    </row>
    <row r="101" spans="17:19" x14ac:dyDescent="0.25">
      <c r="Q101" s="789" t="s">
        <v>636</v>
      </c>
      <c r="R101" s="789" t="str">
        <f ca="1">CELL("address",F6)</f>
        <v>$F$6</v>
      </c>
      <c r="S101" s="789" cm="1">
        <f t="array" aca="1" ref="S101" ca="1">INDIRECT(R101)</f>
        <v>18250</v>
      </c>
    </row>
    <row r="102" spans="17:19" x14ac:dyDescent="0.25">
      <c r="Q102" s="789" t="s">
        <v>581</v>
      </c>
      <c r="R102" s="789" t="e">
        <f ca="1">CELL("address",#REF!)</f>
        <v>#REF!</v>
      </c>
      <c r="S102" s="789" t="e" cm="1">
        <f t="array" aca="1" ref="S102" ca="1">INDIRECT(R102)</f>
        <v>#REF!</v>
      </c>
    </row>
    <row r="104" spans="17:19" x14ac:dyDescent="0.25">
      <c r="Q104" s="789" t="s">
        <v>567</v>
      </c>
      <c r="R104" s="789" t="str">
        <f ca="1">CELL("address",'Key inputs &amp; Outputs'!F9)</f>
        <v>$F$9</v>
      </c>
      <c r="S104" s="789" cm="1">
        <f t="array" aca="1" ref="S104" ca="1">INDIRECT(R104)</f>
        <v>10</v>
      </c>
    </row>
    <row r="105" spans="17:19" x14ac:dyDescent="0.25">
      <c r="Q105" s="789" t="str">
        <f>D14</f>
        <v>Include warm season grasses in the analysis?</v>
      </c>
      <c r="R105" s="789" t="str">
        <f ca="1">CELL("address",F14)</f>
        <v>$F$14</v>
      </c>
      <c r="S105" s="789" t="str" cm="1">
        <f t="array" aca="1" ref="S105" ca="1">INDIRECT(R105)</f>
        <v>Yes</v>
      </c>
    </row>
    <row r="106" spans="17:19" x14ac:dyDescent="0.25">
      <c r="Q106" s="789" t="str">
        <f>D15</f>
        <v>Acres of grass or vegetation to be digested</v>
      </c>
      <c r="R106" s="789" t="str">
        <f ca="1">CELL("address",F15)</f>
        <v>$F$15</v>
      </c>
      <c r="S106" s="789" cm="1">
        <f t="array" aca="1" ref="S106" ca="1">INDIRECT(R106)</f>
        <v>500</v>
      </c>
    </row>
  </sheetData>
  <sheetProtection sheet="1" objects="1" scenarios="1"/>
  <protectedRanges>
    <protectedRange sqref="F6:F7" name="Column Q Inputs_1_1"/>
    <protectedRange sqref="F9 F10" name="Column Q Inputs_1_1_1"/>
  </protectedRanges>
  <conditionalFormatting sqref="D15:F16">
    <cfRule type="expression" dxfId="110" priority="1">
      <formula>$F$14="No"</formula>
    </cfRule>
  </conditionalFormatting>
  <conditionalFormatting sqref="Q4">
    <cfRule type="expression" dxfId="109" priority="4">
      <formula>#REF!="Solar Thermal Electric"</formula>
    </cfRule>
  </conditionalFormatting>
  <dataValidations count="2">
    <dataValidation type="list" allowBlank="1" showInputMessage="1" showErrorMessage="1" sqref="F13:F14" xr:uid="{33CB0AF9-B77A-483D-94B4-D461D11929C1}">
      <formula1>"Yes,No"</formula1>
    </dataValidation>
    <dataValidation type="list" allowBlank="1" showInputMessage="1" showErrorMessage="1" sqref="F14" xr:uid="{00000000-0002-0000-0100-000001000000}">
      <formula1>"No, Yes"</formula1>
    </dataValidation>
  </dataValidations>
  <pageMargins left="0.7" right="0.7" top="0.75" bottom="0.75" header="0.3" footer="0.3"/>
  <pageSetup orientation="portrait" horizontalDpi="0" verticalDpi="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FFFF00"/>
  </sheetPr>
  <dimension ref="A1:AG253"/>
  <sheetViews>
    <sheetView workbookViewId="0">
      <selection activeCell="A24" sqref="A24:XFD24"/>
    </sheetView>
  </sheetViews>
  <sheetFormatPr defaultColWidth="9.140625" defaultRowHeight="15" x14ac:dyDescent="0.2"/>
  <cols>
    <col min="1" max="2" width="3.7109375" style="1" customWidth="1"/>
    <col min="3" max="3" width="7.7109375" style="1" customWidth="1"/>
    <col min="4" max="4" width="1.5703125" style="1" customWidth="1"/>
    <col min="5" max="5" width="69.28515625" style="1" customWidth="1"/>
    <col min="6" max="6" width="18.42578125" style="1" customWidth="1"/>
    <col min="7" max="7" width="23" style="1" bestFit="1" customWidth="1"/>
    <col min="8" max="8" width="10.28515625" style="1" customWidth="1"/>
    <col min="9" max="9" width="13.140625" style="1" customWidth="1"/>
    <col min="10" max="10" width="1.85546875" style="1" customWidth="1"/>
    <col min="11" max="11" width="1.140625" style="1" customWidth="1"/>
    <col min="12" max="12" width="7.7109375" style="1" customWidth="1"/>
    <col min="13" max="13" width="2" style="1" customWidth="1"/>
    <col min="14" max="14" width="58" style="1" customWidth="1"/>
    <col min="15" max="15" width="21" style="1" customWidth="1"/>
    <col min="16" max="16" width="18" style="1" customWidth="1"/>
    <col min="17" max="17" width="12.42578125" style="1" customWidth="1"/>
    <col min="18" max="18" width="14.42578125" style="1" customWidth="1"/>
    <col min="19" max="19" width="13.7109375" style="1" customWidth="1"/>
    <col min="20" max="20" width="11.5703125" style="1" customWidth="1"/>
    <col min="21" max="21" width="16.140625" style="1" customWidth="1"/>
    <col min="22" max="22" width="14.7109375" style="1" customWidth="1"/>
    <col min="23" max="23" width="16.28515625" style="1" customWidth="1"/>
    <col min="24" max="24" width="14.7109375" style="1" customWidth="1"/>
    <col min="25" max="25" width="14.42578125" style="1" customWidth="1"/>
    <col min="26" max="33" width="15.28515625" style="1" customWidth="1"/>
    <col min="34" max="16384" width="9.140625" style="1"/>
  </cols>
  <sheetData>
    <row r="1" spans="2:32" ht="7.5" customHeight="1" thickBot="1" x14ac:dyDescent="0.25">
      <c r="B1" s="30"/>
    </row>
    <row r="2" spans="2:32" s="212" customFormat="1" ht="30" customHeight="1" thickBot="1" x14ac:dyDescent="0.3">
      <c r="B2" s="293"/>
      <c r="C2" s="1141" t="s">
        <v>378</v>
      </c>
      <c r="D2" s="1141"/>
      <c r="E2" s="1141"/>
      <c r="F2" s="1141"/>
      <c r="G2" s="1141"/>
      <c r="H2" s="1141"/>
      <c r="I2" s="1141"/>
      <c r="J2" s="1141"/>
      <c r="K2" s="1142"/>
      <c r="L2" s="1142"/>
      <c r="M2" s="1142"/>
      <c r="N2" s="1142"/>
      <c r="O2" s="1142"/>
      <c r="P2" s="1142"/>
      <c r="Q2" s="1142"/>
      <c r="R2" s="1142"/>
      <c r="S2" s="1142"/>
      <c r="T2" s="249"/>
      <c r="U2" s="250"/>
      <c r="V2" s="250"/>
      <c r="W2" s="250"/>
      <c r="X2" s="250"/>
      <c r="Y2" s="250"/>
      <c r="Z2" s="250"/>
      <c r="AA2" s="250"/>
      <c r="AB2" s="250"/>
      <c r="AC2" s="250"/>
      <c r="AD2" s="250"/>
      <c r="AE2" s="250"/>
      <c r="AF2" s="251"/>
    </row>
    <row r="3" spans="2:32" ht="7.5" customHeight="1" x14ac:dyDescent="0.25">
      <c r="B3" s="8"/>
      <c r="C3" s="226"/>
      <c r="D3" s="226"/>
      <c r="E3" s="226"/>
      <c r="F3" s="226"/>
      <c r="G3" s="226"/>
      <c r="H3" s="226"/>
      <c r="I3" s="226"/>
      <c r="J3" s="225"/>
      <c r="K3" s="225"/>
      <c r="L3" s="226"/>
      <c r="M3" s="226"/>
      <c r="N3" s="226"/>
      <c r="O3" s="226"/>
      <c r="P3" s="226"/>
      <c r="Q3" s="226"/>
      <c r="R3" s="226"/>
      <c r="S3" s="226"/>
      <c r="T3" s="226"/>
      <c r="U3" s="227"/>
      <c r="V3" s="227"/>
      <c r="W3" s="227"/>
      <c r="X3" s="227"/>
      <c r="Y3" s="227"/>
      <c r="Z3" s="227"/>
      <c r="AA3" s="227"/>
      <c r="AB3" s="227"/>
      <c r="AC3" s="227"/>
      <c r="AD3" s="227"/>
      <c r="AE3" s="227"/>
      <c r="AF3" s="232"/>
    </row>
    <row r="4" spans="2:32" ht="18.75" x14ac:dyDescent="0.3">
      <c r="B4" s="8"/>
      <c r="C4" s="288" t="s">
        <v>14</v>
      </c>
      <c r="D4" s="11"/>
      <c r="E4" s="462" t="s">
        <v>390</v>
      </c>
      <c r="F4" s="12"/>
      <c r="G4" s="485"/>
      <c r="H4"/>
      <c r="J4" s="869"/>
      <c r="K4" s="12"/>
      <c r="M4" s="12"/>
      <c r="Q4" s="12"/>
      <c r="AF4" s="211"/>
    </row>
    <row r="5" spans="2:32" ht="35.25" customHeight="1" thickBot="1" x14ac:dyDescent="0.3">
      <c r="C5"/>
      <c r="D5"/>
      <c r="E5" s="649" t="s">
        <v>575</v>
      </c>
      <c r="F5" s="108"/>
      <c r="G5" s="853" t="str">
        <f>IF('Key inputs &amp; Outputs'!$F$14="No","manure &amp; food waste","manure, food waste &amp; grass")</f>
        <v>manure, food waste &amp; grass</v>
      </c>
      <c r="H5" s="108"/>
      <c r="I5" s="108"/>
      <c r="J5" s="870"/>
      <c r="K5" s="108"/>
      <c r="L5" s="445"/>
      <c r="M5" s="108"/>
      <c r="N5" s="108"/>
      <c r="O5" s="445"/>
      <c r="P5" s="445"/>
      <c r="AF5" s="211"/>
    </row>
    <row r="6" spans="2:32" ht="18.75" thickBot="1" x14ac:dyDescent="0.3">
      <c r="C6"/>
      <c r="D6"/>
      <c r="E6" s="2" t="s">
        <v>10</v>
      </c>
      <c r="F6" s="255" t="s">
        <v>193</v>
      </c>
      <c r="G6" s="292" t="s">
        <v>216</v>
      </c>
      <c r="H6" s="650" t="s">
        <v>13</v>
      </c>
      <c r="J6" s="871"/>
      <c r="L6" s="1057" t="s">
        <v>14</v>
      </c>
      <c r="N6" s="650" t="s">
        <v>860</v>
      </c>
      <c r="O6" s="650" t="s">
        <v>193</v>
      </c>
      <c r="P6" s="650" t="s">
        <v>216</v>
      </c>
      <c r="Q6" s="650" t="s">
        <v>13</v>
      </c>
      <c r="R6" s="445"/>
      <c r="S6" s="445"/>
      <c r="T6" s="445"/>
      <c r="U6" s="288" t="s">
        <v>13</v>
      </c>
      <c r="V6" s="11"/>
      <c r="X6" s="227"/>
      <c r="AF6" s="211"/>
    </row>
    <row r="7" spans="2:32" ht="15.75" x14ac:dyDescent="0.25">
      <c r="C7"/>
      <c r="D7"/>
      <c r="E7" s="658" t="s">
        <v>582</v>
      </c>
      <c r="F7" s="658"/>
      <c r="G7" s="218"/>
      <c r="H7" s="108"/>
      <c r="J7" s="871"/>
      <c r="R7" s="445"/>
      <c r="S7" s="445"/>
      <c r="T7" s="445"/>
      <c r="U7" s="458" t="s">
        <v>382</v>
      </c>
      <c r="V7" s="227"/>
      <c r="W7" s="227"/>
      <c r="AF7" s="211"/>
    </row>
    <row r="8" spans="2:32" ht="15.75" x14ac:dyDescent="0.25">
      <c r="E8" s="400" t="s">
        <v>891</v>
      </c>
      <c r="F8" s="876" t="s">
        <v>360</v>
      </c>
      <c r="G8" s="18">
        <f>'Nutrient Calculations'!AF30</f>
        <v>13729912.970321041</v>
      </c>
      <c r="J8" s="871"/>
      <c r="N8" s="658" t="s">
        <v>345</v>
      </c>
      <c r="O8" s="218"/>
      <c r="P8" s="218"/>
      <c r="Q8" s="108"/>
      <c r="R8" s="445"/>
      <c r="S8" s="445"/>
      <c r="T8" s="445"/>
      <c r="U8" s="1" t="s">
        <v>379</v>
      </c>
      <c r="W8" s="456"/>
      <c r="AF8" s="211"/>
    </row>
    <row r="9" spans="2:32" ht="16.5" thickBot="1" x14ac:dyDescent="0.3">
      <c r="C9" s="445"/>
      <c r="D9" s="445"/>
      <c r="E9" s="218" t="s">
        <v>24</v>
      </c>
      <c r="F9" s="876" t="s">
        <v>217</v>
      </c>
      <c r="G9" s="621">
        <f>G10*G16/(G19*24)</f>
        <v>405.49126514620104</v>
      </c>
      <c r="H9" s="652" t="s">
        <v>7</v>
      </c>
      <c r="J9" s="871"/>
      <c r="N9" s="218" t="s">
        <v>578</v>
      </c>
      <c r="O9" s="662" t="s">
        <v>283</v>
      </c>
      <c r="P9" s="878">
        <f>'Key inputs &amp; Outputs'!F8</f>
        <v>0.09</v>
      </c>
      <c r="R9" s="445"/>
      <c r="S9" s="445"/>
      <c r="T9" s="445"/>
      <c r="U9" s="1" t="s">
        <v>380</v>
      </c>
      <c r="W9" s="457"/>
      <c r="AF9" s="211"/>
    </row>
    <row r="10" spans="2:32" ht="16.5" thickBot="1" x14ac:dyDescent="0.3">
      <c r="E10" s="659" t="s">
        <v>436</v>
      </c>
      <c r="F10" s="7" t="s">
        <v>254</v>
      </c>
      <c r="G10" s="888">
        <f>'Key inputs &amp; Outputs'!$F$4*'Key inputs &amp; Outputs'!$F$5/365+'Key inputs &amp; Outputs'!$F$6*'Key inputs &amp; Outputs'!$F$7/365+'Financial Inputs'!$G$26*Switchgrass_Key_Inputs!$L$22*Switchgrass_Key_Inputs!$D$28/365</f>
        <v>212511.15980986951</v>
      </c>
      <c r="J10" s="871"/>
      <c r="N10" s="218" t="s">
        <v>567</v>
      </c>
      <c r="O10" s="662" t="s">
        <v>264</v>
      </c>
      <c r="P10" s="877">
        <f>'Key inputs &amp; Outputs'!F9</f>
        <v>10</v>
      </c>
      <c r="R10" s="445"/>
      <c r="S10" s="445"/>
      <c r="T10" s="445"/>
      <c r="U10" s="1" t="s">
        <v>381</v>
      </c>
      <c r="W10" s="368"/>
      <c r="AF10" s="211"/>
    </row>
    <row r="11" spans="2:32" ht="15.75" x14ac:dyDescent="0.25">
      <c r="C11" s="245"/>
      <c r="D11"/>
      <c r="E11" s="659" t="s">
        <v>635</v>
      </c>
      <c r="F11" s="7" t="s">
        <v>254</v>
      </c>
      <c r="G11" s="486">
        <f>'Financial Inputs'!G9*G19*24/G16</f>
        <v>212511.15980986954</v>
      </c>
      <c r="H11" s="9" t="s">
        <v>7</v>
      </c>
      <c r="J11" s="871"/>
      <c r="N11" s="218" t="s">
        <v>805</v>
      </c>
      <c r="O11" s="662" t="s">
        <v>752</v>
      </c>
      <c r="P11" s="855">
        <v>105</v>
      </c>
      <c r="Q11" s="652" t="s">
        <v>7</v>
      </c>
      <c r="R11" s="445"/>
      <c r="S11" s="445"/>
      <c r="T11" s="445"/>
      <c r="AF11" s="211"/>
    </row>
    <row r="12" spans="2:32" ht="16.5" thickBot="1" x14ac:dyDescent="0.3">
      <c r="C12"/>
      <c r="D12" s="445"/>
      <c r="E12" s="659" t="s">
        <v>435</v>
      </c>
      <c r="F12" s="7" t="s">
        <v>254</v>
      </c>
      <c r="G12" s="643">
        <f>MIN(G10,G11)</f>
        <v>212511.15980986951</v>
      </c>
      <c r="H12" s="108"/>
      <c r="I12" s="969"/>
      <c r="J12" s="871"/>
      <c r="R12" s="445"/>
      <c r="S12" s="445"/>
      <c r="T12" s="445"/>
      <c r="AF12" s="211"/>
    </row>
    <row r="13" spans="2:32" ht="16.5" thickBot="1" x14ac:dyDescent="0.3">
      <c r="C13"/>
      <c r="D13"/>
      <c r="E13" s="400" t="s">
        <v>437</v>
      </c>
      <c r="F13" s="309" t="s">
        <v>217</v>
      </c>
      <c r="G13" s="643">
        <f>G12*G16/(G19*24)</f>
        <v>405.49126514620104</v>
      </c>
      <c r="H13"/>
      <c r="J13" s="871"/>
      <c r="L13" s="278"/>
      <c r="N13" s="1015" t="s">
        <v>20</v>
      </c>
      <c r="O13" s="1013"/>
      <c r="P13" s="1014"/>
      <c r="Q13" s="107"/>
      <c r="R13" s="445"/>
      <c r="S13" s="445"/>
      <c r="T13" s="445"/>
      <c r="AF13" s="211"/>
    </row>
    <row r="14" spans="2:32" ht="15.75" x14ac:dyDescent="0.25">
      <c r="C14" s="245"/>
      <c r="E14" s="659" t="s">
        <v>719</v>
      </c>
      <c r="F14" s="7" t="s">
        <v>1</v>
      </c>
      <c r="G14" s="620">
        <v>0.9</v>
      </c>
      <c r="H14" s="9" t="s">
        <v>7</v>
      </c>
      <c r="J14" s="871"/>
      <c r="M14" s="1">
        <f>IF(OR(P16&lt;0,P16&gt;1,P16=""),1,0)</f>
        <v>0</v>
      </c>
      <c r="N14" s="1081" t="s">
        <v>251</v>
      </c>
      <c r="O14" s="362"/>
      <c r="P14" s="624" t="s">
        <v>269</v>
      </c>
      <c r="Q14" s="9" t="s">
        <v>7</v>
      </c>
      <c r="R14" s="950"/>
      <c r="S14" s="445"/>
      <c r="T14" s="445"/>
      <c r="AF14" s="211"/>
    </row>
    <row r="15" spans="2:32" ht="15.75" x14ac:dyDescent="0.25">
      <c r="E15" s="659" t="s">
        <v>263</v>
      </c>
      <c r="F15" s="7" t="s">
        <v>256</v>
      </c>
      <c r="G15" s="369">
        <f>G12*G14*365</f>
        <v>69809915.997542143</v>
      </c>
      <c r="H15" s="9" t="s">
        <v>7</v>
      </c>
      <c r="J15" s="871"/>
      <c r="M15" s="382">
        <f>IF(OR(P17&lt;0,P17&gt;1,P17=""),1,0)</f>
        <v>0</v>
      </c>
      <c r="N15" s="1082" t="s">
        <v>204</v>
      </c>
      <c r="O15" s="5"/>
      <c r="P15" s="367" t="s">
        <v>273</v>
      </c>
      <c r="Q15" s="9" t="s">
        <v>7</v>
      </c>
      <c r="R15" s="445"/>
      <c r="S15" s="445"/>
      <c r="T15" s="445"/>
      <c r="AF15" s="211"/>
    </row>
    <row r="16" spans="2:32" ht="15.75" x14ac:dyDescent="0.25">
      <c r="C16" s="245"/>
      <c r="E16" s="659" t="s">
        <v>260</v>
      </c>
      <c r="F16" s="7" t="s">
        <v>255</v>
      </c>
      <c r="G16" s="621">
        <v>625</v>
      </c>
      <c r="H16" s="9" t="s">
        <v>7</v>
      </c>
      <c r="J16" s="871"/>
      <c r="N16" s="1080" t="s">
        <v>150</v>
      </c>
      <c r="O16" s="5" t="s">
        <v>1</v>
      </c>
      <c r="P16" s="386">
        <v>0.3</v>
      </c>
      <c r="Q16" s="9" t="s">
        <v>7</v>
      </c>
      <c r="R16" s="445"/>
      <c r="S16" s="445"/>
      <c r="T16" s="445"/>
      <c r="AF16" s="211"/>
    </row>
    <row r="17" spans="3:32" ht="15.75" x14ac:dyDescent="0.25">
      <c r="E17" s="659" t="s">
        <v>261</v>
      </c>
      <c r="F17" s="7" t="s">
        <v>257</v>
      </c>
      <c r="G17" s="369">
        <f>(G16/1000000)*G15</f>
        <v>43631.197498463844</v>
      </c>
      <c r="H17" s="9" t="s">
        <v>7</v>
      </c>
      <c r="J17" s="871"/>
      <c r="L17"/>
      <c r="N17" s="218" t="s">
        <v>12</v>
      </c>
      <c r="O17" s="388" t="s">
        <v>1</v>
      </c>
      <c r="P17" s="389">
        <v>1</v>
      </c>
      <c r="R17" s="445"/>
      <c r="S17" s="445"/>
      <c r="T17" s="445"/>
      <c r="AF17" s="211"/>
    </row>
    <row r="18" spans="3:32" ht="15.75" x14ac:dyDescent="0.25">
      <c r="C18" s="245"/>
      <c r="E18" s="659" t="s">
        <v>270</v>
      </c>
      <c r="F18" s="7" t="s">
        <v>1</v>
      </c>
      <c r="G18" s="620">
        <v>0.25</v>
      </c>
      <c r="H18" s="9" t="s">
        <v>7</v>
      </c>
      <c r="J18" s="871"/>
      <c r="L18"/>
      <c r="N18" s="659" t="s">
        <v>102</v>
      </c>
      <c r="O18" s="5" t="s">
        <v>0</v>
      </c>
      <c r="P18" s="390">
        <f>IF($P$62="Yes",IF($P$15="ITC",'Detailed Cash Flow'!$C$141*'Financial Inputs'!$P$16*'Financial Inputs'!$P$17,IF($P$15="Cash Grant",'Detailed Cash Flow'!$C$141*'Financial Inputs'!$P$16,0)),0)</f>
        <v>328035.08068691019</v>
      </c>
      <c r="Q18" s="9" t="s">
        <v>7</v>
      </c>
      <c r="R18" s="445"/>
      <c r="S18" s="445"/>
      <c r="T18" s="445"/>
      <c r="AF18" s="211"/>
    </row>
    <row r="19" spans="3:32" ht="15.75" x14ac:dyDescent="0.25">
      <c r="E19" s="659" t="s">
        <v>258</v>
      </c>
      <c r="F19" s="7" t="s">
        <v>259</v>
      </c>
      <c r="G19" s="369">
        <f>3412/G18</f>
        <v>13648</v>
      </c>
      <c r="H19" s="9" t="s">
        <v>7</v>
      </c>
      <c r="J19" s="871"/>
      <c r="L19"/>
      <c r="M19" s="1">
        <f>IF(OR(P21&lt;0,P21&gt;G24),1,0)</f>
        <v>0</v>
      </c>
      <c r="N19" s="328" t="s">
        <v>583</v>
      </c>
      <c r="O19" s="375"/>
      <c r="P19"/>
      <c r="Q19"/>
      <c r="R19" s="445"/>
      <c r="S19" s="445"/>
      <c r="T19" s="445"/>
      <c r="AF19" s="211"/>
    </row>
    <row r="20" spans="3:32" ht="15.75" x14ac:dyDescent="0.25">
      <c r="E20" s="659" t="s">
        <v>262</v>
      </c>
      <c r="F20" s="7" t="s">
        <v>1</v>
      </c>
      <c r="G20" s="620">
        <v>0</v>
      </c>
      <c r="H20" s="9" t="s">
        <v>7</v>
      </c>
      <c r="J20" s="871"/>
      <c r="L20"/>
      <c r="N20" s="1053" t="s">
        <v>274</v>
      </c>
      <c r="O20" s="7" t="s">
        <v>38</v>
      </c>
      <c r="P20" s="626">
        <v>1.3</v>
      </c>
      <c r="Q20" s="9" t="s">
        <v>7</v>
      </c>
      <c r="R20" s="445"/>
      <c r="S20" s="445"/>
      <c r="T20" s="445"/>
      <c r="AF20" s="211"/>
    </row>
    <row r="21" spans="3:32" ht="15.75" x14ac:dyDescent="0.25">
      <c r="E21" s="659" t="s">
        <v>411</v>
      </c>
      <c r="F21" s="7" t="s">
        <v>2</v>
      </c>
      <c r="G21" s="369">
        <f>((1/(G19/1000000))*G17)*G14*(1-G20)</f>
        <v>2877203.8209713846</v>
      </c>
      <c r="H21" s="9" t="s">
        <v>7</v>
      </c>
      <c r="J21" s="871"/>
      <c r="L21"/>
      <c r="N21" s="1083" t="s">
        <v>275</v>
      </c>
      <c r="O21" s="7" t="s">
        <v>27</v>
      </c>
      <c r="P21" s="627">
        <v>10</v>
      </c>
      <c r="Q21" s="9" t="s">
        <v>7</v>
      </c>
      <c r="R21" s="445"/>
      <c r="S21" s="445"/>
      <c r="T21" s="445"/>
      <c r="AF21" s="211"/>
    </row>
    <row r="22" spans="3:32" ht="15.75" x14ac:dyDescent="0.25">
      <c r="E22" s="659" t="s">
        <v>438</v>
      </c>
      <c r="F22" s="487" t="s">
        <v>217</v>
      </c>
      <c r="G22" s="643">
        <f>G21/(365*24*G14*(1-G20))</f>
        <v>364.94213863158103</v>
      </c>
      <c r="J22" s="871"/>
      <c r="L22"/>
      <c r="N22" s="1083" t="s">
        <v>276</v>
      </c>
      <c r="O22" s="4" t="s">
        <v>1</v>
      </c>
      <c r="P22" s="1002">
        <f>G55</f>
        <v>0.02</v>
      </c>
      <c r="Q22" s="9" t="s">
        <v>7</v>
      </c>
      <c r="R22" s="445"/>
      <c r="S22" s="445"/>
      <c r="T22" s="445"/>
      <c r="AF22" s="211"/>
    </row>
    <row r="23" spans="3:32" ht="15.75" x14ac:dyDescent="0.25">
      <c r="E23" s="400"/>
      <c r="J23" s="871"/>
      <c r="N23" s="1010" t="s">
        <v>854</v>
      </c>
      <c r="O23" s="7" t="s">
        <v>38</v>
      </c>
      <c r="P23" s="626">
        <v>0</v>
      </c>
      <c r="R23" s="445"/>
      <c r="S23" s="445"/>
      <c r="T23" s="445"/>
      <c r="AF23" s="211"/>
    </row>
    <row r="24" spans="3:32" ht="15.75" x14ac:dyDescent="0.25">
      <c r="C24" s="275"/>
      <c r="D24" s="1">
        <f>IF(OR(G24&lt;1,G24&gt;30),1,0)</f>
        <v>0</v>
      </c>
      <c r="E24" s="218" t="s">
        <v>574</v>
      </c>
      <c r="F24" s="876" t="s">
        <v>3</v>
      </c>
      <c r="G24" s="922">
        <v>20</v>
      </c>
      <c r="H24" s="801" t="s">
        <v>7</v>
      </c>
      <c r="J24" s="871"/>
      <c r="N24" s="659" t="s">
        <v>857</v>
      </c>
      <c r="P24" s="1003">
        <f>G55</f>
        <v>0.02</v>
      </c>
      <c r="R24" s="445"/>
      <c r="S24" s="445"/>
      <c r="T24" s="445"/>
      <c r="AF24" s="211"/>
    </row>
    <row r="25" spans="3:32" ht="15.75" x14ac:dyDescent="0.25">
      <c r="E25" s="400"/>
      <c r="J25" s="871"/>
      <c r="N25" s="1010" t="s">
        <v>855</v>
      </c>
      <c r="O25" s="7" t="s">
        <v>38</v>
      </c>
      <c r="P25" s="626">
        <v>0</v>
      </c>
      <c r="R25" s="445"/>
      <c r="S25" s="445"/>
      <c r="T25" s="445"/>
      <c r="AF25" s="211"/>
    </row>
    <row r="26" spans="3:32" ht="15.75" x14ac:dyDescent="0.25">
      <c r="C26" s="445"/>
      <c r="D26" s="445"/>
      <c r="E26" s="218" t="s">
        <v>853</v>
      </c>
      <c r="F26" s="876" t="s">
        <v>852</v>
      </c>
      <c r="G26" s="922">
        <v>4000</v>
      </c>
      <c r="H26" s="1027" t="s">
        <v>7</v>
      </c>
      <c r="J26" s="871"/>
      <c r="N26" s="659" t="s">
        <v>856</v>
      </c>
      <c r="P26" s="1003">
        <f>G55</f>
        <v>0.02</v>
      </c>
      <c r="R26" s="445"/>
      <c r="S26" s="445"/>
      <c r="T26" s="445"/>
      <c r="AF26" s="211"/>
    </row>
    <row r="27" spans="3:32" ht="16.5" thickBot="1" x14ac:dyDescent="0.3">
      <c r="J27" s="871"/>
      <c r="L27"/>
      <c r="N27" s="1109" t="s">
        <v>915</v>
      </c>
      <c r="O27" s="1004" t="s">
        <v>1</v>
      </c>
      <c r="P27" s="622">
        <v>0.15</v>
      </c>
      <c r="Q27" s="652" t="s">
        <v>7</v>
      </c>
      <c r="R27" s="445"/>
      <c r="S27" s="445"/>
      <c r="T27" s="445"/>
      <c r="AF27" s="211"/>
    </row>
    <row r="28" spans="3:32" ht="16.5" thickBot="1" x14ac:dyDescent="0.3">
      <c r="C28"/>
      <c r="D28" s="400"/>
      <c r="E28" s="2" t="s">
        <v>388</v>
      </c>
      <c r="F28" s="255"/>
      <c r="G28" s="292"/>
      <c r="H28" s="108"/>
      <c r="J28" s="871"/>
      <c r="L28"/>
      <c r="N28" s="659" t="s">
        <v>577</v>
      </c>
      <c r="O28" s="315" t="s">
        <v>0</v>
      </c>
      <c r="P28" s="614">
        <f>P27*G38</f>
        <v>529280.06507378875</v>
      </c>
      <c r="Q28" s="9" t="s">
        <v>7</v>
      </c>
      <c r="AF28" s="211"/>
    </row>
    <row r="29" spans="3:32" ht="16.5" thickBot="1" x14ac:dyDescent="0.3">
      <c r="C29" s="445"/>
      <c r="D29" s="400"/>
      <c r="E29" s="1067" t="s">
        <v>627</v>
      </c>
      <c r="F29" s="1068"/>
      <c r="G29" s="653" t="s">
        <v>620</v>
      </c>
      <c r="H29" s="652" t="s">
        <v>7</v>
      </c>
      <c r="J29" s="871"/>
      <c r="L29"/>
      <c r="N29" s="1084" t="s">
        <v>168</v>
      </c>
      <c r="O29" s="320"/>
      <c r="P29" s="332" t="s">
        <v>9</v>
      </c>
      <c r="Q29" s="9" t="s">
        <v>7</v>
      </c>
      <c r="W29" s="1055"/>
      <c r="AF29" s="211"/>
    </row>
    <row r="30" spans="3:32" ht="16.5" thickBot="1" x14ac:dyDescent="0.3">
      <c r="C30" s="757"/>
      <c r="D30" s="400"/>
      <c r="E30" s="960" t="s">
        <v>896</v>
      </c>
      <c r="F30" s="1069" t="s">
        <v>218</v>
      </c>
      <c r="G30" s="1062">
        <f>2573.22317203128*0.714</f>
        <v>1837.2813448303336</v>
      </c>
      <c r="H30" s="652" t="s">
        <v>7</v>
      </c>
      <c r="I30" s="383"/>
      <c r="J30" s="871"/>
      <c r="L30"/>
      <c r="W30" s="1056"/>
      <c r="AF30" s="211"/>
    </row>
    <row r="31" spans="3:32" ht="16.5" thickBot="1" x14ac:dyDescent="0.3">
      <c r="C31" s="757"/>
      <c r="D31" s="400"/>
      <c r="E31" s="960" t="s">
        <v>907</v>
      </c>
      <c r="F31" s="1069" t="s">
        <v>218</v>
      </c>
      <c r="G31" s="1062">
        <f>2573.22317203128*0.286</f>
        <v>735.94182720094591</v>
      </c>
      <c r="H31" s="652" t="s">
        <v>7</v>
      </c>
      <c r="J31" s="871"/>
      <c r="L31"/>
      <c r="M31" s="1">
        <f>IF(OR(P33&lt;0,P33&gt;1),1,0)</f>
        <v>0</v>
      </c>
      <c r="N31" s="3" t="s">
        <v>250</v>
      </c>
      <c r="O31" s="255" t="s">
        <v>193</v>
      </c>
      <c r="P31" s="292" t="s">
        <v>216</v>
      </c>
      <c r="W31" s="1056"/>
      <c r="AF31" s="211"/>
    </row>
    <row r="32" spans="3:32" ht="16.5" thickBot="1" x14ac:dyDescent="0.3">
      <c r="E32" s="960" t="s">
        <v>906</v>
      </c>
      <c r="F32" s="388" t="s">
        <v>893</v>
      </c>
      <c r="G32" s="1063">
        <v>0.05</v>
      </c>
      <c r="I32" s="1061"/>
      <c r="J32" s="871"/>
      <c r="L32"/>
      <c r="M32" s="383">
        <f>IF(OR(P34&lt;0,P34&gt;1),1,0)</f>
        <v>0</v>
      </c>
      <c r="N32" s="361" t="s">
        <v>253</v>
      </c>
      <c r="O32" s="362"/>
      <c r="P32" s="624" t="s">
        <v>269</v>
      </c>
      <c r="Q32" s="9" t="s">
        <v>7</v>
      </c>
      <c r="AF32" s="211"/>
    </row>
    <row r="33" spans="3:32" ht="15.75" x14ac:dyDescent="0.25">
      <c r="E33" s="960" t="s">
        <v>892</v>
      </c>
      <c r="F33" s="388" t="s">
        <v>893</v>
      </c>
      <c r="G33" s="1063">
        <v>0.13100000000000001</v>
      </c>
      <c r="H33" s="383"/>
      <c r="J33" s="871"/>
      <c r="L33"/>
      <c r="M33" s="1">
        <f>IF(OR(P35&lt;1,P35&gt;G24),1,0)</f>
        <v>0</v>
      </c>
      <c r="N33" s="1085" t="s">
        <v>142</v>
      </c>
      <c r="O33" s="309" t="s">
        <v>1</v>
      </c>
      <c r="P33" s="333">
        <v>0.3</v>
      </c>
      <c r="Q33" s="9" t="s">
        <v>7</v>
      </c>
      <c r="W33" s="1064">
        <f>W30*W9</f>
        <v>0</v>
      </c>
      <c r="AF33" s="211"/>
    </row>
    <row r="34" spans="3:32" ht="15.75" x14ac:dyDescent="0.25">
      <c r="C34" s="654"/>
      <c r="D34" s="400"/>
      <c r="E34" s="960" t="s">
        <v>119</v>
      </c>
      <c r="F34" s="876" t="s">
        <v>0</v>
      </c>
      <c r="G34" s="628">
        <f>G30*G9</f>
        <v>745001.5369447656</v>
      </c>
      <c r="H34" s="652" t="s">
        <v>7</v>
      </c>
      <c r="I34" s="383"/>
      <c r="J34" s="871"/>
      <c r="L34"/>
      <c r="N34" s="218" t="s">
        <v>21</v>
      </c>
      <c r="O34" s="388" t="s">
        <v>1</v>
      </c>
      <c r="P34" s="1001">
        <v>1</v>
      </c>
      <c r="W34" s="1064">
        <f>W32*W8</f>
        <v>0</v>
      </c>
      <c r="AF34" s="211"/>
    </row>
    <row r="35" spans="3:32" ht="15.75" x14ac:dyDescent="0.25">
      <c r="C35" s="656"/>
      <c r="D35" s="400"/>
      <c r="E35" s="960" t="s">
        <v>121</v>
      </c>
      <c r="F35" s="876" t="s">
        <v>0</v>
      </c>
      <c r="G35" s="628">
        <f>(G33+IF('Key inputs &amp; Outputs'!F13="Yes",'Financial Inputs'!G32,0))*G8</f>
        <v>2485114.2476281081</v>
      </c>
      <c r="H35" s="652" t="s">
        <v>7</v>
      </c>
      <c r="I35" s="383"/>
      <c r="J35" s="871"/>
      <c r="L35"/>
      <c r="N35" s="1083" t="s">
        <v>26</v>
      </c>
      <c r="O35" s="7" t="s">
        <v>27</v>
      </c>
      <c r="P35" s="318">
        <v>1</v>
      </c>
      <c r="Q35" s="9" t="s">
        <v>7</v>
      </c>
      <c r="W35" s="1065">
        <f>(W33+IF('Key inputs &amp; Outputs'!V13="Yes",'Financial Inputs'!W32,0))*W8</f>
        <v>0</v>
      </c>
      <c r="AF35" s="211"/>
    </row>
    <row r="36" spans="3:32" ht="16.5" thickBot="1" x14ac:dyDescent="0.3">
      <c r="C36" s="779"/>
      <c r="D36" s="400"/>
      <c r="E36" s="960" t="s">
        <v>122</v>
      </c>
      <c r="F36" s="876" t="s">
        <v>0</v>
      </c>
      <c r="G36" s="628">
        <f>G31*G9</f>
        <v>298417.98258571845</v>
      </c>
      <c r="H36" s="652" t="s">
        <v>7</v>
      </c>
      <c r="J36" s="871"/>
      <c r="L36"/>
      <c r="N36" s="1084" t="s">
        <v>239</v>
      </c>
      <c r="O36" s="312" t="s">
        <v>0</v>
      </c>
      <c r="P36" s="363">
        <f>IF(AND($P$62="Yes",$P$32="Cost-Based"),SUM('Detailed Cash Flow'!$G$221:$AJ$221),0)</f>
        <v>0</v>
      </c>
      <c r="Q36" s="9" t="s">
        <v>7</v>
      </c>
      <c r="W36" s="1065">
        <v>0</v>
      </c>
      <c r="AF36" s="211"/>
    </row>
    <row r="37" spans="3:32" ht="15.75" x14ac:dyDescent="0.25">
      <c r="C37" s="779"/>
      <c r="D37" s="445"/>
      <c r="E37" s="960" t="s">
        <v>123</v>
      </c>
      <c r="F37" s="876" t="s">
        <v>0</v>
      </c>
      <c r="G37" s="628">
        <v>0</v>
      </c>
      <c r="H37" s="652" t="s">
        <v>7</v>
      </c>
      <c r="J37" s="871"/>
      <c r="L37"/>
      <c r="N37" s="1076" t="s">
        <v>206</v>
      </c>
      <c r="O37" s="4"/>
      <c r="P37" s="625" t="s">
        <v>240</v>
      </c>
      <c r="Q37" s="9" t="s">
        <v>7</v>
      </c>
      <c r="AF37" s="211"/>
    </row>
    <row r="38" spans="3:32" ht="15.75" x14ac:dyDescent="0.25">
      <c r="C38" s="779"/>
      <c r="D38"/>
      <c r="E38" s="960" t="s">
        <v>784</v>
      </c>
      <c r="F38" s="876" t="s">
        <v>0</v>
      </c>
      <c r="G38" s="1070">
        <f>SUM(G96:G99)</f>
        <v>3528533.7671585921</v>
      </c>
      <c r="H38" s="655"/>
      <c r="J38" s="871"/>
      <c r="L38"/>
      <c r="N38" s="1083" t="s">
        <v>249</v>
      </c>
      <c r="O38" s="7" t="s">
        <v>0</v>
      </c>
      <c r="P38" s="628">
        <v>500000</v>
      </c>
      <c r="Q38" s="9" t="s">
        <v>7</v>
      </c>
      <c r="AF38" s="211"/>
    </row>
    <row r="39" spans="3:32" ht="15.75" x14ac:dyDescent="0.25">
      <c r="C39"/>
      <c r="D39"/>
      <c r="E39" s="960" t="s">
        <v>75</v>
      </c>
      <c r="F39" s="876" t="s">
        <v>0</v>
      </c>
      <c r="G39" s="1070">
        <f>($G$69*$P$159*G38+$G$63+$G$71+$P$50)</f>
        <v>340527.83126279374</v>
      </c>
      <c r="J39" s="871"/>
      <c r="L39"/>
      <c r="M39" s="384">
        <f>IF(OR(P41&lt;0,P41&gt;1),1,0)</f>
        <v>0</v>
      </c>
      <c r="N39" s="1083" t="s">
        <v>292</v>
      </c>
      <c r="O39" s="7"/>
      <c r="P39" s="629" t="s">
        <v>9</v>
      </c>
      <c r="Q39" s="9" t="s">
        <v>7</v>
      </c>
      <c r="AF39" s="211"/>
    </row>
    <row r="40" spans="3:32" ht="16.5" thickBot="1" x14ac:dyDescent="0.3">
      <c r="C40"/>
      <c r="D40"/>
      <c r="E40" s="305" t="s">
        <v>207</v>
      </c>
      <c r="F40" s="306" t="str">
        <f>IF('Financial Inputs'!$G$29="Complex","$","")</f>
        <v/>
      </c>
      <c r="G40" s="307" t="str">
        <f>IF('Financial Inputs'!$G$29="Complex",'Complex Inputs'!$C$121,"")</f>
        <v/>
      </c>
      <c r="H40" s="272" t="s">
        <v>7</v>
      </c>
      <c r="J40" s="871"/>
      <c r="L40"/>
      <c r="M40" s="1">
        <f>IF(OR(P42&lt;0,P42&gt;G24),1,0)</f>
        <v>0</v>
      </c>
      <c r="N40" s="1086" t="s">
        <v>294</v>
      </c>
      <c r="O40" s="7" t="s">
        <v>38</v>
      </c>
      <c r="P40" s="630">
        <v>1.0549999999999999</v>
      </c>
      <c r="Q40" s="9" t="s">
        <v>7</v>
      </c>
      <c r="W40" s="1054"/>
      <c r="AF40" s="211"/>
    </row>
    <row r="41" spans="3:32" ht="16.5" thickBot="1" x14ac:dyDescent="0.3">
      <c r="C41"/>
      <c r="D41" s="445"/>
      <c r="E41" s="1074" t="s">
        <v>799</v>
      </c>
      <c r="F41" s="309" t="s">
        <v>0</v>
      </c>
      <c r="G41" s="310">
        <f>IF('Financial Inputs'!$G$29="Complex",$G$40,G38+G39)</f>
        <v>3869061.598421386</v>
      </c>
      <c r="H41" s="9" t="s">
        <v>7</v>
      </c>
      <c r="J41" s="871"/>
      <c r="L41"/>
      <c r="N41" s="218" t="s">
        <v>293</v>
      </c>
      <c r="O41" s="388" t="s">
        <v>1</v>
      </c>
      <c r="P41" s="631">
        <v>1</v>
      </c>
      <c r="AF41" s="211"/>
    </row>
    <row r="42" spans="3:32" ht="16.5" thickBot="1" x14ac:dyDescent="0.3">
      <c r="C42"/>
      <c r="D42"/>
      <c r="E42" s="1074" t="s">
        <v>799</v>
      </c>
      <c r="F42" s="312" t="s">
        <v>218</v>
      </c>
      <c r="G42" s="313">
        <f>G41/'Financial Inputs'!G9</f>
        <v>9541.6644721715147</v>
      </c>
      <c r="H42" s="9" t="s">
        <v>7</v>
      </c>
      <c r="J42" s="871"/>
      <c r="L42"/>
      <c r="M42" s="12"/>
      <c r="N42" s="1083" t="s">
        <v>295</v>
      </c>
      <c r="O42" s="7" t="s">
        <v>27</v>
      </c>
      <c r="P42" s="606">
        <f>G24</f>
        <v>20</v>
      </c>
      <c r="Q42" s="9" t="s">
        <v>7</v>
      </c>
      <c r="AF42" s="211"/>
    </row>
    <row r="43" spans="3:32" ht="16.5" thickBot="1" x14ac:dyDescent="0.3">
      <c r="C43" s="445"/>
      <c r="D43"/>
      <c r="E43" s="790" t="s">
        <v>413</v>
      </c>
      <c r="F43" s="657" t="s">
        <v>0</v>
      </c>
      <c r="G43" s="855">
        <f>550000*G9/405</f>
        <v>550667.15019854461</v>
      </c>
      <c r="H43" s="655" t="s">
        <v>7</v>
      </c>
      <c r="J43" s="871"/>
      <c r="L43"/>
      <c r="N43" s="1083" t="s">
        <v>296</v>
      </c>
      <c r="O43" s="4" t="s">
        <v>1</v>
      </c>
      <c r="P43" s="604">
        <f>G55</f>
        <v>0.02</v>
      </c>
      <c r="Q43" s="9" t="s">
        <v>7</v>
      </c>
      <c r="AF43" s="211"/>
    </row>
    <row r="44" spans="3:32" ht="16.5" thickBot="1" x14ac:dyDescent="0.3">
      <c r="J44" s="871"/>
      <c r="L44"/>
      <c r="N44" s="1087" t="s">
        <v>252</v>
      </c>
      <c r="O44" s="357" t="s">
        <v>218</v>
      </c>
      <c r="P44" s="632">
        <v>0</v>
      </c>
      <c r="Q44" s="9" t="s">
        <v>7</v>
      </c>
      <c r="AF44" s="211"/>
    </row>
    <row r="45" spans="3:32" ht="16.5" thickBot="1" x14ac:dyDescent="0.3">
      <c r="C45" s="445"/>
      <c r="D45"/>
      <c r="E45" s="2" t="s">
        <v>866</v>
      </c>
      <c r="F45" s="326" t="s">
        <v>193</v>
      </c>
      <c r="G45" s="327" t="s">
        <v>216</v>
      </c>
      <c r="H45" s="9"/>
      <c r="J45" s="871"/>
      <c r="L45"/>
      <c r="N45" s="1083" t="s">
        <v>248</v>
      </c>
      <c r="O45" s="7" t="s">
        <v>0</v>
      </c>
      <c r="P45" s="633">
        <v>500000</v>
      </c>
      <c r="Q45" s="9" t="s">
        <v>7</v>
      </c>
      <c r="AF45" s="211"/>
    </row>
    <row r="46" spans="3:32" ht="16.5" thickBot="1" x14ac:dyDescent="0.3">
      <c r="C46"/>
      <c r="D46"/>
      <c r="E46" s="844" t="s">
        <v>851</v>
      </c>
      <c r="F46" s="368"/>
      <c r="G46" s="622">
        <v>0.03</v>
      </c>
      <c r="H46" s="652" t="s">
        <v>7</v>
      </c>
      <c r="J46" s="871"/>
      <c r="L46"/>
      <c r="M46" s="12"/>
      <c r="N46" s="1084" t="s">
        <v>167</v>
      </c>
      <c r="O46" s="320"/>
      <c r="P46" s="634" t="s">
        <v>9</v>
      </c>
      <c r="Q46" s="9" t="s">
        <v>7</v>
      </c>
      <c r="AF46" s="211"/>
    </row>
    <row r="47" spans="3:32" ht="16.5" thickBot="1" x14ac:dyDescent="0.3">
      <c r="E47" s="844" t="s">
        <v>899</v>
      </c>
      <c r="F47" s="368"/>
      <c r="G47" s="622">
        <v>0.01</v>
      </c>
      <c r="J47" s="871"/>
      <c r="L47"/>
      <c r="M47" s="12">
        <f>IF(OR(P163&lt;1,P163&gt;$G$24),1,0)</f>
        <v>0</v>
      </c>
      <c r="AF47" s="211"/>
    </row>
    <row r="48" spans="3:32" ht="16.5" thickBot="1" x14ac:dyDescent="0.3">
      <c r="C48" s="246"/>
      <c r="E48" s="844" t="s">
        <v>734</v>
      </c>
      <c r="F48" s="876" t="s">
        <v>0</v>
      </c>
      <c r="G48" s="865">
        <f>(G46*G96+G47*SUM(G97:G99))*T165</f>
        <v>50185.368410481227</v>
      </c>
      <c r="H48" s="652" t="s">
        <v>7</v>
      </c>
      <c r="J48" s="871"/>
      <c r="L48"/>
      <c r="M48" s="12"/>
      <c r="N48" s="3" t="s">
        <v>832</v>
      </c>
      <c r="O48" s="255" t="s">
        <v>193</v>
      </c>
      <c r="P48" s="292" t="s">
        <v>216</v>
      </c>
      <c r="Q48" s="12"/>
      <c r="AF48" s="211"/>
    </row>
    <row r="49" spans="3:32" ht="15.75" x14ac:dyDescent="0.25">
      <c r="C49"/>
      <c r="D49"/>
      <c r="E49" s="660" t="s">
        <v>888</v>
      </c>
      <c r="F49" s="661" t="s">
        <v>3</v>
      </c>
      <c r="G49" s="856">
        <v>2.5</v>
      </c>
      <c r="H49" s="652" t="s">
        <v>7</v>
      </c>
      <c r="J49" s="871"/>
      <c r="L49"/>
      <c r="M49" s="12"/>
      <c r="N49" s="321" t="s">
        <v>32</v>
      </c>
      <c r="O49" s="5" t="s">
        <v>30</v>
      </c>
      <c r="P49" s="637">
        <v>6</v>
      </c>
      <c r="Q49" s="9" t="s">
        <v>7</v>
      </c>
      <c r="AF49" s="211"/>
    </row>
    <row r="50" spans="3:32" ht="16.5" thickBot="1" x14ac:dyDescent="0.3">
      <c r="C50"/>
      <c r="D50" s="445"/>
      <c r="E50" s="660" t="s">
        <v>894</v>
      </c>
      <c r="G50" s="622">
        <v>0.1</v>
      </c>
      <c r="J50" s="871"/>
      <c r="L50"/>
      <c r="N50" s="319" t="s">
        <v>33</v>
      </c>
      <c r="O50" s="320" t="s">
        <v>0</v>
      </c>
      <c r="P50" s="334">
        <f>-(AVERAGE('Detailed Cash Flow'!G34:AJ34)/12*$P$49)</f>
        <v>190565.14615855354</v>
      </c>
      <c r="Q50" s="9" t="s">
        <v>7</v>
      </c>
      <c r="AF50" s="211"/>
    </row>
    <row r="51" spans="3:32" ht="16.5" thickBot="1" x14ac:dyDescent="0.3">
      <c r="E51" s="660" t="s">
        <v>561</v>
      </c>
      <c r="F51" s="657" t="s">
        <v>0</v>
      </c>
      <c r="G51" s="865">
        <f>IF(G29="Intermediate",G96,G30*G9)*G50</f>
        <v>74500.153694476568</v>
      </c>
      <c r="H51" s="652" t="s">
        <v>7</v>
      </c>
      <c r="J51" s="871"/>
      <c r="L51"/>
      <c r="M51" s="12"/>
      <c r="N51" s="335" t="s">
        <v>835</v>
      </c>
      <c r="O51" s="304" t="s">
        <v>1</v>
      </c>
      <c r="P51" s="638">
        <f>P75/2</f>
        <v>4.0475392545533714E-2</v>
      </c>
      <c r="Q51" s="9" t="s">
        <v>7</v>
      </c>
      <c r="AF51" s="211"/>
    </row>
    <row r="52" spans="3:32" ht="16.5" thickBot="1" x14ac:dyDescent="0.3">
      <c r="E52" s="218" t="s">
        <v>374</v>
      </c>
      <c r="F52" s="471" t="s">
        <v>3</v>
      </c>
      <c r="G52" s="857">
        <v>10</v>
      </c>
      <c r="H52" s="652" t="s">
        <v>7</v>
      </c>
      <c r="J52" s="871"/>
      <c r="L52"/>
      <c r="M52" s="12"/>
      <c r="AF52" s="211"/>
    </row>
    <row r="53" spans="3:32" ht="16.5" thickBot="1" x14ac:dyDescent="0.3">
      <c r="E53" s="218" t="s">
        <v>735</v>
      </c>
      <c r="G53" s="622">
        <v>3.6363636363636397E-2</v>
      </c>
      <c r="J53" s="871"/>
      <c r="L53" s="12"/>
      <c r="M53" s="12"/>
      <c r="N53" s="3" t="s">
        <v>862</v>
      </c>
      <c r="O53" s="255"/>
      <c r="P53" s="292"/>
      <c r="AF53" s="211"/>
    </row>
    <row r="54" spans="3:32" ht="15.75" x14ac:dyDescent="0.25">
      <c r="E54" s="218" t="s">
        <v>375</v>
      </c>
      <c r="F54" s="876" t="s">
        <v>0</v>
      </c>
      <c r="G54" s="865">
        <f>G53*G38</f>
        <v>128310.31880576711</v>
      </c>
      <c r="H54" s="652" t="s">
        <v>7</v>
      </c>
      <c r="J54" s="871"/>
      <c r="L54" s="274"/>
      <c r="N54" s="218" t="s">
        <v>149</v>
      </c>
      <c r="O54" s="388" t="s">
        <v>579</v>
      </c>
      <c r="P54" s="860">
        <v>1.2</v>
      </c>
      <c r="Q54" s="652" t="s">
        <v>7</v>
      </c>
      <c r="AF54" s="211"/>
    </row>
    <row r="55" spans="3:32" ht="15.75" x14ac:dyDescent="0.25">
      <c r="C55" s="247"/>
      <c r="D55" s="12"/>
      <c r="E55" s="1075" t="s">
        <v>800</v>
      </c>
      <c r="F55" s="5" t="s">
        <v>1</v>
      </c>
      <c r="G55" s="858">
        <v>0.02</v>
      </c>
      <c r="H55" s="9" t="s">
        <v>7</v>
      </c>
      <c r="J55" s="871"/>
      <c r="N55" s="1083" t="str">
        <f>"Actual Minimum DSCR, which occurs in year "&amp;MAX('Detailed Cash Flow'!G40:AJ40)</f>
        <v>Actual Minimum DSCR, which occurs in year 10</v>
      </c>
      <c r="O55" s="388" t="s">
        <v>579</v>
      </c>
      <c r="P55" s="322">
        <f>ROUND('Detailed Cash Flow'!$F$39,2)</f>
        <v>3.25</v>
      </c>
      <c r="Q55" s="9" t="s">
        <v>7</v>
      </c>
      <c r="AF55" s="211"/>
    </row>
    <row r="56" spans="3:32" ht="15.75" x14ac:dyDescent="0.25">
      <c r="E56" s="400"/>
      <c r="J56" s="871"/>
      <c r="K56" s="445"/>
      <c r="L56" s="274"/>
      <c r="N56" s="1083" t="s">
        <v>214</v>
      </c>
      <c r="O56" s="7" t="s">
        <v>136</v>
      </c>
      <c r="P56" s="323" t="str">
        <f>IF($P$55&gt;=$P$155,"Pass","Fail")</f>
        <v>Pass</v>
      </c>
      <c r="Q56" s="9" t="s">
        <v>7</v>
      </c>
      <c r="AF56" s="211"/>
    </row>
    <row r="57" spans="3:32" ht="15.75" x14ac:dyDescent="0.25">
      <c r="C57" s="274"/>
      <c r="E57" s="659" t="s">
        <v>528</v>
      </c>
      <c r="F57" s="7" t="s">
        <v>264</v>
      </c>
      <c r="G57" s="1021">
        <f>Switchgrass_Key_Inputs!D46</f>
        <v>80.019152639035667</v>
      </c>
      <c r="H57" s="1020" t="s">
        <v>7</v>
      </c>
      <c r="J57" s="871"/>
      <c r="K57" s="445"/>
      <c r="L57" s="274"/>
      <c r="N57" s="1083" t="s">
        <v>173</v>
      </c>
      <c r="O57" s="7"/>
      <c r="P57" s="1110">
        <v>1.45</v>
      </c>
      <c r="Q57" s="9" t="s">
        <v>7</v>
      </c>
      <c r="AF57" s="211"/>
    </row>
    <row r="58" spans="3:32" ht="15.75" x14ac:dyDescent="0.25">
      <c r="C58" s="274"/>
      <c r="E58" s="1076" t="s">
        <v>560</v>
      </c>
      <c r="F58" s="15" t="s">
        <v>399</v>
      </c>
      <c r="G58" s="577">
        <f>IF(X118=2,'Key inputs &amp; Outputs'!F15*Switchgrass_Key_Inputs!D45,0)</f>
        <v>2702.893332650593</v>
      </c>
      <c r="H58" s="272" t="s">
        <v>7</v>
      </c>
      <c r="J58" s="871"/>
      <c r="K58" s="383"/>
      <c r="N58" s="1083" t="s">
        <v>172</v>
      </c>
      <c r="O58" s="213"/>
      <c r="P58" s="322">
        <f>ROUND('Detailed Cash Flow'!$E$39,2)</f>
        <v>3.78</v>
      </c>
      <c r="Q58" s="9" t="s">
        <v>7</v>
      </c>
      <c r="AF58" s="211"/>
    </row>
    <row r="59" spans="3:32" ht="16.5" thickBot="1" x14ac:dyDescent="0.3">
      <c r="E59"/>
      <c r="F59"/>
      <c r="G59"/>
      <c r="H59"/>
      <c r="J59" s="871"/>
      <c r="K59" s="383"/>
      <c r="L59" s="274"/>
      <c r="N59" s="1084" t="s">
        <v>215</v>
      </c>
      <c r="O59" s="312" t="s">
        <v>136</v>
      </c>
      <c r="P59" s="324" t="str">
        <f>IF($P$58&gt;=$P$57,"Pass","Fail")</f>
        <v>Pass</v>
      </c>
      <c r="Q59" s="9" t="s">
        <v>7</v>
      </c>
      <c r="AF59" s="211"/>
    </row>
    <row r="60" spans="3:32" ht="16.5" thickBot="1" x14ac:dyDescent="0.3">
      <c r="C60" s="248"/>
      <c r="E60" s="3" t="s">
        <v>139</v>
      </c>
      <c r="F60" s="255" t="s">
        <v>193</v>
      </c>
      <c r="G60" s="292" t="s">
        <v>216</v>
      </c>
      <c r="H60" s="13"/>
      <c r="J60" s="871"/>
      <c r="K60" s="12"/>
      <c r="AF60" s="211"/>
    </row>
    <row r="61" spans="3:32" ht="16.5" thickBot="1" x14ac:dyDescent="0.3">
      <c r="C61" s="276"/>
      <c r="E61" s="1077" t="s">
        <v>4</v>
      </c>
      <c r="F61" s="315" t="s">
        <v>30</v>
      </c>
      <c r="G61" s="610">
        <v>12</v>
      </c>
      <c r="H61" s="9" t="s">
        <v>7</v>
      </c>
      <c r="J61" s="871"/>
      <c r="K61" s="12"/>
      <c r="N61" s="3" t="s">
        <v>117</v>
      </c>
      <c r="O61" s="255" t="s">
        <v>193</v>
      </c>
      <c r="P61" s="292" t="s">
        <v>216</v>
      </c>
      <c r="Q61" s="230"/>
      <c r="R61"/>
      <c r="AF61" s="211"/>
    </row>
    <row r="62" spans="3:32" ht="16.5" thickBot="1" x14ac:dyDescent="0.3">
      <c r="C62" s="276"/>
      <c r="E62" s="1075" t="s">
        <v>29</v>
      </c>
      <c r="F62" s="7" t="s">
        <v>1</v>
      </c>
      <c r="G62" s="611">
        <v>0.08</v>
      </c>
      <c r="H62" s="9" t="s">
        <v>7</v>
      </c>
      <c r="J62" s="871"/>
      <c r="K62" s="12"/>
      <c r="L62" s="277"/>
      <c r="N62" s="1088" t="s">
        <v>11</v>
      </c>
      <c r="O62" s="353"/>
      <c r="P62" s="639" t="s">
        <v>9</v>
      </c>
      <c r="Q62" s="9" t="s">
        <v>7</v>
      </c>
      <c r="R62"/>
      <c r="AF62" s="211"/>
    </row>
    <row r="63" spans="3:32" ht="16.5" thickBot="1" x14ac:dyDescent="0.3">
      <c r="C63" s="248"/>
      <c r="E63" s="1078" t="s">
        <v>31</v>
      </c>
      <c r="F63" s="312" t="s">
        <v>0</v>
      </c>
      <c r="G63" s="949">
        <f>IF($G$29="complex",'Complex Inputs'!$C$107,G38*($G$62/12)*($G$61/2))</f>
        <v>141141.35068634371</v>
      </c>
      <c r="H63" s="9" t="s">
        <v>7</v>
      </c>
      <c r="J63" s="871"/>
      <c r="K63" s="12"/>
      <c r="L63" s="274"/>
      <c r="M63" s="1">
        <f>IF(OR(P63&lt;0,P63=""),1,0)</f>
        <v>0</v>
      </c>
      <c r="N63" s="1085" t="s">
        <v>5</v>
      </c>
      <c r="O63" s="309" t="s">
        <v>1</v>
      </c>
      <c r="P63" s="640">
        <f>P71</f>
        <v>0.35</v>
      </c>
      <c r="Q63" s="9" t="s">
        <v>7</v>
      </c>
      <c r="R63"/>
      <c r="AF63" s="211"/>
    </row>
    <row r="64" spans="3:32" ht="16.5" thickBot="1" x14ac:dyDescent="0.3">
      <c r="G64" s="156"/>
      <c r="H64" s="13"/>
      <c r="J64" s="871"/>
      <c r="K64" s="12"/>
      <c r="L64" s="277"/>
      <c r="N64" s="1089" t="s">
        <v>189</v>
      </c>
      <c r="O64" s="354"/>
      <c r="P64" s="634" t="s">
        <v>211</v>
      </c>
      <c r="Q64" s="9" t="s">
        <v>7</v>
      </c>
      <c r="R64"/>
      <c r="AF64" s="211"/>
    </row>
    <row r="65" spans="3:32" ht="15.75" x14ac:dyDescent="0.25">
      <c r="C65" s="248"/>
      <c r="E65" s="325" t="s">
        <v>28</v>
      </c>
      <c r="F65" s="326" t="s">
        <v>193</v>
      </c>
      <c r="G65" s="327" t="s">
        <v>216</v>
      </c>
      <c r="H65" s="289"/>
      <c r="J65" s="871"/>
      <c r="K65" s="12"/>
      <c r="L65" s="274"/>
      <c r="M65" s="1">
        <f>IF(OR(P65&lt;0,P65=""),1,0)</f>
        <v>0</v>
      </c>
      <c r="N65" s="1085" t="s">
        <v>6</v>
      </c>
      <c r="O65" s="309" t="s">
        <v>1</v>
      </c>
      <c r="P65" s="640">
        <f>P72</f>
        <v>7.0000000000000007E-2</v>
      </c>
      <c r="Q65" s="9" t="s">
        <v>7</v>
      </c>
      <c r="AF65" s="211"/>
    </row>
    <row r="66" spans="3:32" ht="16.5" thickBot="1" x14ac:dyDescent="0.3">
      <c r="C66" s="274"/>
      <c r="D66" s="1">
        <f>IF(OR(P159="",P159&lt;0,P159&gt;1),1,0)</f>
        <v>0</v>
      </c>
      <c r="E66" s="218" t="s">
        <v>724</v>
      </c>
      <c r="F66" s="1004" t="s">
        <v>1</v>
      </c>
      <c r="G66" s="762">
        <v>0.25</v>
      </c>
      <c r="H66" s="9" t="s">
        <v>7</v>
      </c>
      <c r="J66" s="871"/>
      <c r="K66" s="12"/>
      <c r="L66" s="277"/>
      <c r="N66" s="1089" t="s">
        <v>190</v>
      </c>
      <c r="O66" s="354"/>
      <c r="P66" s="634" t="s">
        <v>211</v>
      </c>
      <c r="Q66" s="9" t="s">
        <v>7</v>
      </c>
      <c r="AF66" s="211"/>
    </row>
    <row r="67" spans="3:32" ht="16.5" thickBot="1" x14ac:dyDescent="0.3">
      <c r="C67" s="274"/>
      <c r="D67" s="1">
        <f>IF(OR(P158&lt;=0,P158&gt;G24),1,0)</f>
        <v>0</v>
      </c>
      <c r="E67" s="218" t="s">
        <v>370</v>
      </c>
      <c r="F67" s="1004" t="s">
        <v>3</v>
      </c>
      <c r="G67" s="1005">
        <v>10</v>
      </c>
      <c r="H67" s="9" t="s">
        <v>7</v>
      </c>
      <c r="J67" s="871"/>
      <c r="K67" s="12"/>
      <c r="N67" s="1090" t="s">
        <v>25</v>
      </c>
      <c r="O67" s="355" t="s">
        <v>1</v>
      </c>
      <c r="P67" s="356">
        <f>IF($P$62="Yes",$P$63+(P65*(1-$P$63)),0%)</f>
        <v>0.39549999999999996</v>
      </c>
      <c r="Q67" s="9" t="s">
        <v>7</v>
      </c>
      <c r="AF67" s="211"/>
    </row>
    <row r="68" spans="3:32" ht="15.75" x14ac:dyDescent="0.25">
      <c r="E68" s="218" t="s">
        <v>576</v>
      </c>
      <c r="F68" s="1004" t="s">
        <v>1</v>
      </c>
      <c r="G68" s="622">
        <v>0.08</v>
      </c>
      <c r="H68" s="9" t="s">
        <v>7</v>
      </c>
      <c r="J68" s="871"/>
      <c r="K68" s="12"/>
      <c r="N68" s="1074" t="s">
        <v>220</v>
      </c>
      <c r="P68" s="482" t="s">
        <v>105</v>
      </c>
      <c r="Q68" s="294" t="s">
        <v>7</v>
      </c>
      <c r="AF68" s="211"/>
    </row>
    <row r="69" spans="3:32" ht="16.5" thickBot="1" x14ac:dyDescent="0.3">
      <c r="C69" s="274"/>
      <c r="D69" s="1">
        <f>IF(OR(G69&lt;0,G69=""),1,0)</f>
        <v>0</v>
      </c>
      <c r="E69" s="1079" t="s">
        <v>720</v>
      </c>
      <c r="F69" s="320" t="s">
        <v>1</v>
      </c>
      <c r="G69" s="635">
        <v>0.01</v>
      </c>
      <c r="H69" s="9" t="s">
        <v>7</v>
      </c>
      <c r="J69" s="871"/>
      <c r="K69" s="12"/>
      <c r="N69" s="311" t="s">
        <v>221</v>
      </c>
      <c r="P69" s="336">
        <v>0.5</v>
      </c>
      <c r="Q69" s="9" t="s">
        <v>7</v>
      </c>
      <c r="AF69" s="211"/>
    </row>
    <row r="70" spans="3:32" ht="16.5" thickBot="1" x14ac:dyDescent="0.3">
      <c r="C70" s="274"/>
      <c r="D70" s="1">
        <f>IF(OR(G70&lt;0,G70=""),1,0)</f>
        <v>0</v>
      </c>
      <c r="E70" s="1079" t="s">
        <v>721</v>
      </c>
      <c r="F70" s="320" t="s">
        <v>1</v>
      </c>
      <c r="G70" s="636">
        <v>2.5000000000000001E-3</v>
      </c>
      <c r="H70" s="9" t="s">
        <v>7</v>
      </c>
      <c r="J70" s="871"/>
      <c r="K70" s="12"/>
      <c r="N70" s="1091" t="s">
        <v>72</v>
      </c>
      <c r="O70" s="883"/>
      <c r="P70" s="951" t="s">
        <v>863</v>
      </c>
      <c r="Q70" s="9" t="s">
        <v>7</v>
      </c>
      <c r="AF70" s="211"/>
    </row>
    <row r="71" spans="3:32" ht="16.5" thickBot="1" x14ac:dyDescent="0.3">
      <c r="C71" s="274"/>
      <c r="E71" s="1079" t="s">
        <v>132</v>
      </c>
      <c r="F71" s="1006" t="s">
        <v>0</v>
      </c>
      <c r="G71" s="1007">
        <v>0</v>
      </c>
      <c r="H71" s="9" t="s">
        <v>7</v>
      </c>
      <c r="J71" s="871"/>
      <c r="N71" s="218" t="s">
        <v>371</v>
      </c>
      <c r="O71" s="1004" t="s">
        <v>1</v>
      </c>
      <c r="P71" s="622">
        <v>0.35</v>
      </c>
      <c r="Q71" s="9" t="s">
        <v>7</v>
      </c>
      <c r="AF71" s="211"/>
    </row>
    <row r="72" spans="3:32" ht="15.75" x14ac:dyDescent="0.25">
      <c r="E72" s="1074" t="s">
        <v>861</v>
      </c>
      <c r="F72" s="364">
        <f>G72/$G$78</f>
        <v>0.2279967427113507</v>
      </c>
      <c r="G72" s="330">
        <f>'Detailed Cash Flow'!F124</f>
        <v>882133.44178964803</v>
      </c>
      <c r="H72" s="9" t="s">
        <v>7</v>
      </c>
      <c r="J72" s="871"/>
      <c r="N72" s="218" t="s">
        <v>372</v>
      </c>
      <c r="O72" s="1004" t="s">
        <v>1</v>
      </c>
      <c r="P72" s="622">
        <v>7.0000000000000007E-2</v>
      </c>
      <c r="Q72" s="9" t="s">
        <v>7</v>
      </c>
      <c r="AF72" s="211"/>
    </row>
    <row r="73" spans="3:32" ht="15.75" thickBot="1" x14ac:dyDescent="0.25">
      <c r="J73" s="871"/>
      <c r="N73" s="659" t="s">
        <v>812</v>
      </c>
      <c r="O73" s="368"/>
      <c r="P73" s="952">
        <f>P157*(1-P67)</f>
        <v>4.8360000000000007E-2</v>
      </c>
      <c r="AF73" s="211"/>
    </row>
    <row r="74" spans="3:32" ht="16.5" thickBot="1" x14ac:dyDescent="0.3">
      <c r="E74" s="3" t="s">
        <v>171</v>
      </c>
      <c r="F74" s="14"/>
      <c r="G74" s="244"/>
      <c r="J74" s="872"/>
      <c r="AF74" s="211"/>
    </row>
    <row r="75" spans="3:32" ht="15.75" x14ac:dyDescent="0.25">
      <c r="E75" s="1074" t="s">
        <v>861</v>
      </c>
      <c r="F75" s="1008">
        <f>F72</f>
        <v>0.2279967427113507</v>
      </c>
      <c r="G75" s="1009">
        <f>G72</f>
        <v>882133.44178964803</v>
      </c>
      <c r="J75" s="872"/>
      <c r="N75" s="331" t="s">
        <v>209</v>
      </c>
      <c r="O75" s="966" t="s">
        <v>1</v>
      </c>
      <c r="P75" s="967">
        <f>(V195*F77)+(F72*V193*(1-P67))/(F75+F77)</f>
        <v>8.0950785091067429E-2</v>
      </c>
      <c r="AF75" s="211"/>
    </row>
    <row r="76" spans="3:32" ht="15.75" x14ac:dyDescent="0.25">
      <c r="E76" s="1080" t="s">
        <v>916</v>
      </c>
      <c r="F76" s="364">
        <f>G76/$G$78</f>
        <v>8.2694418581406887E-2</v>
      </c>
      <c r="G76" s="1022">
        <f>IF($P$29="Yes",$P$28*(1-P67),$P$28)+IF($P$46="Yes",IF($P$45=0,($P$44)*(1-$P$65),MIN($P$45*(1-$P$65),($P$44)*(1-$P$65))),IF($P$45=0,$P$44,MIN($P$45,$P$44)))</f>
        <v>319949.7993371053</v>
      </c>
      <c r="H76" s="801" t="s">
        <v>7</v>
      </c>
      <c r="J76" s="872"/>
      <c r="AF76" s="211"/>
    </row>
    <row r="77" spans="3:32" ht="15.75" x14ac:dyDescent="0.25">
      <c r="E77" s="659" t="s">
        <v>170</v>
      </c>
      <c r="F77" s="364">
        <f>G77/$G$78</f>
        <v>0.68930883870724236</v>
      </c>
      <c r="G77" s="1023">
        <f>-'Detailed Cash Flow'!$F$51</f>
        <v>2666978.3572946326</v>
      </c>
      <c r="H77" s="801" t="s">
        <v>7</v>
      </c>
      <c r="J77" s="872"/>
      <c r="AF77" s="211"/>
    </row>
    <row r="78" spans="3:32" ht="15.75" x14ac:dyDescent="0.25">
      <c r="E78" s="1010" t="s">
        <v>801</v>
      </c>
      <c r="F78" s="5" t="s">
        <v>0</v>
      </c>
      <c r="G78" s="1011">
        <f>SUM(G75:G77)</f>
        <v>3869061.598421386</v>
      </c>
      <c r="H78" s="801" t="s">
        <v>7</v>
      </c>
      <c r="J78" s="871"/>
      <c r="AF78" s="211"/>
    </row>
    <row r="79" spans="3:32" ht="15.75" x14ac:dyDescent="0.25">
      <c r="C79"/>
      <c r="D79"/>
      <c r="E79"/>
      <c r="F79"/>
      <c r="G79"/>
      <c r="H79"/>
      <c r="J79" s="871"/>
      <c r="R79" s="10"/>
      <c r="AF79" s="211"/>
    </row>
    <row r="80" spans="3:32" ht="15.75" x14ac:dyDescent="0.25">
      <c r="D80" s="1">
        <f>IF(OR(P156&lt;0,P156=""),1,0)</f>
        <v>0</v>
      </c>
      <c r="E80" s="1012" t="s">
        <v>564</v>
      </c>
      <c r="F80" s="662" t="s">
        <v>1</v>
      </c>
      <c r="G80" s="859">
        <v>0.1</v>
      </c>
      <c r="H80" s="652" t="s">
        <v>7</v>
      </c>
      <c r="J80" s="871"/>
      <c r="R80" s="254">
        <f>IF(OR($P$14="Cost-Based",$P$14="Neither"),1,IF($P$14="Performance-Based",2,0))</f>
        <v>2</v>
      </c>
      <c r="AF80" s="211"/>
    </row>
    <row r="81" spans="3:32" ht="15.75" thickBot="1" x14ac:dyDescent="0.25">
      <c r="C81" s="274"/>
      <c r="E81" s="659" t="s">
        <v>865</v>
      </c>
      <c r="F81" s="320" t="s">
        <v>1</v>
      </c>
      <c r="G81" s="1019">
        <f ca="1">'Detailed Cash Flow'!D70</f>
        <v>0.1288255256694637</v>
      </c>
      <c r="J81" s="871"/>
      <c r="P81" s="1017"/>
      <c r="R81" s="254"/>
      <c r="AF81" s="211"/>
    </row>
    <row r="82" spans="3:32" x14ac:dyDescent="0.2">
      <c r="J82" s="871"/>
      <c r="R82" s="254"/>
      <c r="AF82" s="211"/>
    </row>
    <row r="83" spans="3:32" x14ac:dyDescent="0.2">
      <c r="J83" s="871"/>
      <c r="P83" s="1017"/>
      <c r="R83" s="254"/>
      <c r="AF83" s="211"/>
    </row>
    <row r="84" spans="3:32" x14ac:dyDescent="0.2">
      <c r="J84" s="871"/>
      <c r="P84" s="1017"/>
      <c r="R84" s="254"/>
      <c r="AF84" s="211"/>
    </row>
    <row r="85" spans="3:32" x14ac:dyDescent="0.2">
      <c r="J85" s="871"/>
      <c r="P85" s="1017"/>
      <c r="R85" s="254"/>
      <c r="AF85" s="211"/>
    </row>
    <row r="86" spans="3:32" x14ac:dyDescent="0.2">
      <c r="J86" s="871"/>
      <c r="P86" s="1017"/>
      <c r="R86" s="254"/>
      <c r="AF86" s="211"/>
    </row>
    <row r="87" spans="3:32" x14ac:dyDescent="0.2">
      <c r="J87" s="871"/>
      <c r="P87" s="1017"/>
      <c r="R87" s="254"/>
      <c r="AF87" s="211"/>
    </row>
    <row r="88" spans="3:32" x14ac:dyDescent="0.2">
      <c r="J88" s="871"/>
      <c r="P88" s="1017"/>
      <c r="R88" s="254"/>
      <c r="AF88" s="211"/>
    </row>
    <row r="89" spans="3:32" ht="15.75" x14ac:dyDescent="0.25">
      <c r="J89" s="871"/>
      <c r="R89" s="12"/>
      <c r="AF89" s="211"/>
    </row>
    <row r="90" spans="3:32" ht="15.75" x14ac:dyDescent="0.25">
      <c r="J90" s="871"/>
      <c r="Q90"/>
      <c r="R90" s="12"/>
      <c r="AF90" s="211"/>
    </row>
    <row r="91" spans="3:32" ht="15.75" x14ac:dyDescent="0.25">
      <c r="L91" s="12"/>
      <c r="M91" s="12"/>
      <c r="P91" s="229"/>
      <c r="Y91" s="1016"/>
    </row>
    <row r="92" spans="3:32" ht="15.75" x14ac:dyDescent="0.25">
      <c r="L92" s="12"/>
      <c r="M92" s="12"/>
      <c r="P92" s="229"/>
    </row>
    <row r="93" spans="3:32" ht="16.5" thickBot="1" x14ac:dyDescent="0.3">
      <c r="K93" s="1">
        <f>IF(AND($P$62="Yes",'Financial Inputs'!$G$29="Intermediate"),1,0)</f>
        <v>0</v>
      </c>
      <c r="L93" s="12"/>
      <c r="M93" s="202">
        <f>IF(AND('Financial Inputs'!$G$29="Intermediate",SUM(O98:Y98)=1),1,IF(AND('Financial Inputs'!$G$29="Intermediate",SUM(O98:Y98)&lt;&gt;1),2,0))</f>
        <v>0</v>
      </c>
    </row>
    <row r="94" spans="3:32" ht="31.5" thickBot="1" x14ac:dyDescent="0.3">
      <c r="K94" s="1">
        <f>IF(AND($P$62="Yes",'Financial Inputs'!$G$29="Intermediate"),1,0)</f>
        <v>0</v>
      </c>
      <c r="M94" s="202">
        <f>IF(AND('Financial Inputs'!$G$29="Intermediate",SUM(O99:Y99)=1),1,IF(AND('Financial Inputs'!$G$29="Intermediate",SUM(O99:Y99)&lt;&gt;1),2,0))</f>
        <v>0</v>
      </c>
      <c r="N94" s="337" t="s">
        <v>222</v>
      </c>
      <c r="O94" s="1071" t="s">
        <v>15</v>
      </c>
      <c r="P94" s="1072" t="s">
        <v>97</v>
      </c>
      <c r="Q94" s="1146" t="s">
        <v>16</v>
      </c>
      <c r="R94" s="1147"/>
      <c r="S94" s="1148"/>
      <c r="T94" s="1071" t="s">
        <v>98</v>
      </c>
      <c r="U94" s="1071" t="s">
        <v>99</v>
      </c>
      <c r="V94" s="1071" t="s">
        <v>17</v>
      </c>
      <c r="W94" s="1071" t="s">
        <v>18</v>
      </c>
      <c r="X94" s="1071" t="s">
        <v>100</v>
      </c>
      <c r="Y94" s="1073" t="s">
        <v>19</v>
      </c>
      <c r="Z94" s="211"/>
      <c r="AA94" s="379"/>
      <c r="AB94" s="379"/>
    </row>
    <row r="95" spans="3:32" ht="16.5" thickBot="1" x14ac:dyDescent="0.3">
      <c r="F95" s="13"/>
      <c r="G95" s="1" t="s">
        <v>850</v>
      </c>
      <c r="K95" s="1">
        <f>IF(AND($P$62="Yes",'Financial Inputs'!$G$29="Intermediate"),1,0)</f>
        <v>0</v>
      </c>
      <c r="M95" s="202">
        <f>IF(AND('Financial Inputs'!$G$29="Intermediate",SUM(O100:Y100)=1),1,IF(AND('Financial Inputs'!$G$29="Intermediate",SUM(O100:Y100)&lt;&gt;1),2,0))</f>
        <v>0</v>
      </c>
      <c r="N95" s="338" t="str">
        <f>'Financial Inputs'!E30</f>
        <v>Investment required for the generation equipment</v>
      </c>
      <c r="O95" s="339">
        <v>0.94</v>
      </c>
      <c r="P95" s="380">
        <v>0</v>
      </c>
      <c r="Q95" s="1149">
        <v>1.4999999999999999E-2</v>
      </c>
      <c r="R95" s="1150"/>
      <c r="S95" s="1151"/>
      <c r="T95" s="339">
        <v>0.01</v>
      </c>
      <c r="U95" s="339">
        <v>0</v>
      </c>
      <c r="V95" s="339">
        <v>0</v>
      </c>
      <c r="W95" s="339">
        <v>0.01</v>
      </c>
      <c r="X95" s="339">
        <v>0</v>
      </c>
      <c r="Y95" s="340">
        <v>2.5000000000000001E-2</v>
      </c>
      <c r="Z95" s="231" t="s">
        <v>7</v>
      </c>
      <c r="AA95" s="380"/>
      <c r="AB95" s="380"/>
    </row>
    <row r="96" spans="3:32" ht="15.75" x14ac:dyDescent="0.25">
      <c r="F96" s="998">
        <f>G96/SUM($G$96:$G$99)</f>
        <v>0.21113629232594533</v>
      </c>
      <c r="G96" s="997">
        <f>IF($G$29="intermediate",G34,IF($G$29="Simple",$G$9*$G$30,'Complex Inputs'!C26))</f>
        <v>745001.5369447656</v>
      </c>
      <c r="K96" s="1">
        <f>IF(AND($P$62="Yes",'Financial Inputs'!$G$29="Complex"),1,0)</f>
        <v>0</v>
      </c>
      <c r="N96" s="341" t="str">
        <f>'Financial Inputs'!E34</f>
        <v>Generation Equipment</v>
      </c>
      <c r="O96" s="342">
        <v>0</v>
      </c>
      <c r="P96" s="381">
        <v>1</v>
      </c>
      <c r="Q96" s="1152">
        <v>0</v>
      </c>
      <c r="R96" s="1153"/>
      <c r="S96" s="1154"/>
      <c r="T96" s="342">
        <v>0</v>
      </c>
      <c r="U96" s="342">
        <v>0</v>
      </c>
      <c r="V96" s="342">
        <v>0</v>
      </c>
      <c r="W96" s="342">
        <v>0</v>
      </c>
      <c r="X96" s="342">
        <v>0</v>
      </c>
      <c r="Y96" s="343">
        <v>0</v>
      </c>
      <c r="Z96" s="231" t="s">
        <v>7</v>
      </c>
      <c r="AA96" s="381"/>
      <c r="AB96" s="381"/>
    </row>
    <row r="97" spans="1:33" ht="15.75" x14ac:dyDescent="0.25">
      <c r="F97" s="998">
        <f t="shared" ref="F97:F99" si="0">G97/SUM($G$96:$G$99)</f>
        <v>0.7042909071065192</v>
      </c>
      <c r="G97" s="997">
        <f>IF($G$29="intermediate",G35,IF($G$29="Simple",$G$8*(IF('Key inputs &amp; Outputs'!F13="Yes",'Financial Inputs'!G32,0)+$G$33),'Complex Inputs'!C51))</f>
        <v>2485114.2476281081</v>
      </c>
      <c r="L97" s="12"/>
      <c r="N97" s="344" t="str">
        <f>'Financial Inputs'!E35</f>
        <v>Balance of Plant</v>
      </c>
      <c r="O97" s="273">
        <f>1-P97</f>
        <v>0.43999999999999995</v>
      </c>
      <c r="P97" s="377">
        <f>0.4+0.08+0.08</f>
        <v>0.56000000000000005</v>
      </c>
      <c r="Q97" s="1143">
        <v>0</v>
      </c>
      <c r="R97" s="1144"/>
      <c r="S97" s="1145"/>
      <c r="T97" s="273">
        <v>0</v>
      </c>
      <c r="U97" s="273">
        <v>0</v>
      </c>
      <c r="V97" s="273">
        <v>0</v>
      </c>
      <c r="W97" s="273">
        <v>0</v>
      </c>
      <c r="X97" s="273">
        <v>0</v>
      </c>
      <c r="Y97" s="345">
        <v>0</v>
      </c>
      <c r="Z97" s="231" t="s">
        <v>7</v>
      </c>
      <c r="AA97" s="377"/>
      <c r="AB97" s="377"/>
    </row>
    <row r="98" spans="1:33" ht="15.75" x14ac:dyDescent="0.25">
      <c r="F98" s="998">
        <f t="shared" si="0"/>
        <v>8.4572800567535522E-2</v>
      </c>
      <c r="G98" s="997">
        <f>IF($G$29="intermediate",G36,IF($G$29="Simple",$G$9*$G$31,'Complex Inputs'!C76))</f>
        <v>298417.98258571845</v>
      </c>
      <c r="L98" s="12"/>
      <c r="N98" s="344" t="str">
        <f>'Financial Inputs'!E36</f>
        <v>Interconnection</v>
      </c>
      <c r="O98" s="273">
        <v>0</v>
      </c>
      <c r="P98" s="377">
        <v>0</v>
      </c>
      <c r="Q98" s="1143">
        <v>0</v>
      </c>
      <c r="R98" s="1144"/>
      <c r="S98" s="1145"/>
      <c r="T98" s="273">
        <v>1</v>
      </c>
      <c r="U98" s="273">
        <v>0</v>
      </c>
      <c r="V98" s="273">
        <v>0</v>
      </c>
      <c r="W98" s="273">
        <v>0</v>
      </c>
      <c r="X98" s="273">
        <v>0</v>
      </c>
      <c r="Y98" s="345">
        <v>0</v>
      </c>
      <c r="Z98" s="231" t="s">
        <v>7</v>
      </c>
      <c r="AA98" s="377"/>
      <c r="AB98" s="377"/>
    </row>
    <row r="99" spans="1:33" ht="15.75" x14ac:dyDescent="0.25">
      <c r="F99" s="998">
        <f t="shared" si="0"/>
        <v>0</v>
      </c>
      <c r="G99" s="997">
        <f>IF(G29="Complex",'Complex Inputs'!C101,)</f>
        <v>0</v>
      </c>
      <c r="L99"/>
      <c r="N99" s="344" t="str">
        <f>'Financial Inputs'!E37</f>
        <v>Development Costs &amp; Fee</v>
      </c>
      <c r="O99" s="273">
        <v>0.8</v>
      </c>
      <c r="P99" s="377">
        <v>0</v>
      </c>
      <c r="Q99" s="1135">
        <v>0</v>
      </c>
      <c r="R99" s="1136"/>
      <c r="S99" s="1137"/>
      <c r="T99" s="273">
        <v>0</v>
      </c>
      <c r="U99" s="273">
        <v>0</v>
      </c>
      <c r="V99" s="273">
        <v>0</v>
      </c>
      <c r="W99" s="273">
        <v>0</v>
      </c>
      <c r="X99" s="273">
        <v>0</v>
      </c>
      <c r="Y99" s="345">
        <v>0.2</v>
      </c>
      <c r="Z99" s="231" t="s">
        <v>7</v>
      </c>
      <c r="AA99" s="377"/>
      <c r="AB99" s="377"/>
    </row>
    <row r="100" spans="1:33" ht="16.5" thickBot="1" x14ac:dyDescent="0.3">
      <c r="F100" s="998">
        <f>G100/SUM(G96:G99)</f>
        <v>9.6506893155512918E-2</v>
      </c>
      <c r="G100" s="997">
        <f>G39</f>
        <v>340527.83126279374</v>
      </c>
      <c r="L100"/>
      <c r="N100" s="346" t="str">
        <f>E39</f>
        <v>Reserves &amp; Financing Costs</v>
      </c>
      <c r="O100" s="347">
        <v>0</v>
      </c>
      <c r="P100" s="378">
        <v>0</v>
      </c>
      <c r="Q100" s="1138">
        <v>0</v>
      </c>
      <c r="R100" s="1139"/>
      <c r="S100" s="1140"/>
      <c r="T100" s="347">
        <v>0</v>
      </c>
      <c r="U100" s="347">
        <v>0</v>
      </c>
      <c r="V100" s="347">
        <v>0</v>
      </c>
      <c r="W100" s="347">
        <f>141141/335207</f>
        <v>0.42105624285889015</v>
      </c>
      <c r="X100" s="347">
        <v>0</v>
      </c>
      <c r="Y100" s="348">
        <f>1-W100</f>
        <v>0.57894375714110979</v>
      </c>
      <c r="Z100" s="231" t="s">
        <v>7</v>
      </c>
      <c r="AA100" s="378"/>
      <c r="AB100" s="378"/>
    </row>
    <row r="101" spans="1:33" ht="16.5" thickBot="1" x14ac:dyDescent="0.3">
      <c r="G101" s="21">
        <f>SUM(G96:G100)</f>
        <v>3869061.598421386</v>
      </c>
      <c r="L101"/>
      <c r="M101" s="12"/>
      <c r="N101" s="349" t="s">
        <v>210</v>
      </c>
      <c r="O101" s="350"/>
      <c r="P101" s="351"/>
      <c r="Q101" s="393"/>
      <c r="R101" s="394"/>
      <c r="S101" s="395"/>
      <c r="T101" s="350"/>
      <c r="U101" s="350"/>
      <c r="V101" s="350"/>
      <c r="W101" s="350"/>
      <c r="X101" s="350"/>
      <c r="Y101" s="352"/>
      <c r="Z101" s="295" t="s">
        <v>7</v>
      </c>
      <c r="AA101" s="351"/>
      <c r="AB101" s="351"/>
    </row>
    <row r="102" spans="1:33" ht="16.5" thickBot="1" x14ac:dyDescent="0.3">
      <c r="B102" s="258"/>
      <c r="C102" s="259"/>
      <c r="D102" s="259"/>
      <c r="E102" s="269" t="s">
        <v>194</v>
      </c>
      <c r="F102" s="259"/>
      <c r="G102" s="259"/>
      <c r="H102" s="259"/>
      <c r="I102" s="259"/>
      <c r="J102" s="259"/>
      <c r="K102" s="259"/>
      <c r="L102"/>
      <c r="M102" s="260"/>
      <c r="N102" s="385"/>
      <c r="O102" s="17"/>
      <c r="P102" s="17"/>
      <c r="Q102" s="12"/>
      <c r="R102" s="12"/>
      <c r="S102" s="12"/>
      <c r="T102" s="17"/>
      <c r="U102" s="17"/>
      <c r="V102" s="17"/>
      <c r="W102" s="17"/>
      <c r="X102" s="17"/>
      <c r="Y102" s="17"/>
      <c r="Z102" s="17"/>
      <c r="AA102" s="17"/>
      <c r="AB102" s="17"/>
      <c r="AC102" s="17"/>
      <c r="AD102" s="17"/>
      <c r="AF102" s="373"/>
    </row>
    <row r="103" spans="1:33" ht="15.75" x14ac:dyDescent="0.25">
      <c r="B103" s="261"/>
      <c r="C103" s="256"/>
      <c r="D103" s="256"/>
      <c r="E103" s="262" t="s">
        <v>196</v>
      </c>
      <c r="F103" s="256"/>
      <c r="G103" s="256"/>
      <c r="H103" s="256"/>
      <c r="I103" s="256"/>
      <c r="J103" s="256"/>
      <c r="K103" s="256"/>
      <c r="L103" s="260"/>
      <c r="M103" s="257"/>
      <c r="N103" s="257"/>
      <c r="O103" s="257"/>
      <c r="P103" s="257"/>
      <c r="Q103" s="257"/>
      <c r="R103" s="257"/>
      <c r="S103" s="257"/>
      <c r="T103" s="257"/>
      <c r="U103" s="256"/>
      <c r="V103" s="256"/>
      <c r="W103" s="256"/>
      <c r="X103" s="256"/>
      <c r="Y103" s="256"/>
      <c r="Z103" s="256"/>
      <c r="AA103" s="256"/>
      <c r="AB103" s="256"/>
      <c r="AC103" s="256"/>
      <c r="AD103" s="256"/>
      <c r="AE103" s="256"/>
      <c r="AF103" s="263"/>
    </row>
    <row r="104" spans="1:33" ht="15.75" x14ac:dyDescent="0.25">
      <c r="B104" s="261"/>
      <c r="C104" s="256"/>
      <c r="D104" s="256"/>
      <c r="E104" s="262" t="s">
        <v>197</v>
      </c>
      <c r="F104" s="256"/>
      <c r="G104" s="256"/>
      <c r="H104" s="256"/>
      <c r="I104" s="256"/>
      <c r="J104" s="256"/>
      <c r="K104" s="256"/>
      <c r="L104" s="257"/>
      <c r="M104" s="257"/>
      <c r="N104" s="257"/>
      <c r="O104" s="257"/>
      <c r="P104" s="257"/>
      <c r="Q104" s="257"/>
      <c r="R104" s="257"/>
      <c r="S104" s="257"/>
      <c r="T104" s="257"/>
      <c r="U104" s="256"/>
      <c r="V104" s="256"/>
      <c r="W104" s="256"/>
      <c r="X104" s="256"/>
      <c r="Y104" s="256"/>
      <c r="Z104" s="256"/>
      <c r="AA104" s="256"/>
      <c r="AB104" s="256"/>
      <c r="AC104" s="256"/>
      <c r="AD104" s="256"/>
      <c r="AE104" s="256"/>
      <c r="AF104" s="263"/>
    </row>
    <row r="105" spans="1:33" ht="15.75" x14ac:dyDescent="0.25">
      <c r="B105" s="261"/>
      <c r="C105" s="256"/>
      <c r="D105" s="256"/>
      <c r="E105" s="262" t="s">
        <v>208</v>
      </c>
      <c r="F105" s="256"/>
      <c r="G105" s="256"/>
      <c r="H105" s="256"/>
      <c r="I105" s="256"/>
      <c r="J105" s="256"/>
      <c r="K105" s="256"/>
      <c r="L105" s="257"/>
      <c r="M105" s="257"/>
      <c r="N105" s="257"/>
      <c r="O105" s="257"/>
      <c r="P105" s="257"/>
      <c r="Q105" s="257"/>
      <c r="R105" s="257"/>
      <c r="S105" s="257"/>
      <c r="T105" s="257"/>
      <c r="U105" s="256"/>
      <c r="V105" s="256"/>
      <c r="W105" s="256"/>
      <c r="X105" s="256"/>
      <c r="Y105" s="256"/>
      <c r="Z105" s="256"/>
      <c r="AA105" s="256"/>
      <c r="AB105" s="256"/>
      <c r="AC105" s="256"/>
      <c r="AD105" s="256"/>
      <c r="AE105" s="256"/>
      <c r="AF105" s="263"/>
    </row>
    <row r="106" spans="1:33" ht="15.75" x14ac:dyDescent="0.25">
      <c r="B106" s="261"/>
      <c r="C106" s="256"/>
      <c r="D106" s="256"/>
      <c r="E106" s="262" t="s">
        <v>601</v>
      </c>
      <c r="F106" s="256"/>
      <c r="G106" s="256"/>
      <c r="H106" s="256"/>
      <c r="I106" s="256"/>
      <c r="J106" s="256"/>
      <c r="K106" s="256"/>
      <c r="L106" s="257"/>
      <c r="M106" s="257"/>
      <c r="N106" s="257"/>
      <c r="O106" s="257"/>
      <c r="P106" s="257"/>
      <c r="Q106" s="257"/>
      <c r="R106" s="257"/>
      <c r="S106" s="257"/>
      <c r="T106" s="257"/>
      <c r="U106" s="256"/>
      <c r="V106" s="256"/>
      <c r="W106" s="256"/>
      <c r="X106" s="256"/>
      <c r="Y106" s="256"/>
      <c r="Z106" s="256"/>
      <c r="AA106" s="256"/>
      <c r="AB106" s="256"/>
      <c r="AC106" s="256"/>
      <c r="AD106" s="256"/>
      <c r="AE106" s="256"/>
      <c r="AF106" s="263"/>
    </row>
    <row r="107" spans="1:33" ht="15.75" x14ac:dyDescent="0.25">
      <c r="B107" s="261"/>
      <c r="C107" s="256"/>
      <c r="D107" s="256"/>
      <c r="E107" s="262" t="s">
        <v>198</v>
      </c>
      <c r="F107" s="256"/>
      <c r="G107" s="256"/>
      <c r="H107" s="256"/>
      <c r="I107" s="256"/>
      <c r="J107" s="256"/>
      <c r="K107" s="256"/>
      <c r="L107" s="257"/>
      <c r="M107" s="257"/>
      <c r="N107" s="257"/>
      <c r="O107" s="257"/>
      <c r="P107" s="257"/>
      <c r="Q107" s="257"/>
      <c r="R107" s="257"/>
      <c r="S107" s="257"/>
      <c r="T107" s="257"/>
      <c r="U107" s="256"/>
      <c r="V107" s="256"/>
      <c r="W107" s="256"/>
      <c r="X107" s="256"/>
      <c r="Y107" s="256"/>
      <c r="Z107" s="256"/>
      <c r="AA107" s="256"/>
      <c r="AB107" s="256"/>
      <c r="AC107" s="256"/>
      <c r="AD107" s="256"/>
      <c r="AE107" s="256"/>
      <c r="AF107" s="263"/>
    </row>
    <row r="108" spans="1:33" ht="15.75" x14ac:dyDescent="0.25">
      <c r="B108" s="261"/>
      <c r="C108" s="256"/>
      <c r="D108" s="256"/>
      <c r="E108" s="262" t="s">
        <v>199</v>
      </c>
      <c r="F108" s="256"/>
      <c r="G108" s="256"/>
      <c r="H108" s="256"/>
      <c r="I108" s="256"/>
      <c r="J108" s="256"/>
      <c r="K108" s="256"/>
      <c r="L108" s="257"/>
      <c r="M108" s="257"/>
      <c r="N108" s="257"/>
      <c r="O108" s="257"/>
      <c r="P108" s="257"/>
      <c r="Q108" s="257"/>
      <c r="R108" s="257"/>
      <c r="S108" s="257"/>
      <c r="T108" s="257"/>
      <c r="U108" s="256"/>
      <c r="V108" s="256"/>
      <c r="W108" s="256"/>
      <c r="X108" s="256"/>
      <c r="Y108" s="256"/>
      <c r="Z108" s="256"/>
      <c r="AA108" s="256"/>
      <c r="AB108" s="256"/>
      <c r="AC108" s="256"/>
      <c r="AD108" s="256"/>
      <c r="AE108" s="256"/>
      <c r="AF108" s="263"/>
    </row>
    <row r="109" spans="1:33" ht="15.75" x14ac:dyDescent="0.25">
      <c r="B109" s="261"/>
      <c r="C109" s="256"/>
      <c r="D109" s="256"/>
      <c r="E109" s="262" t="s">
        <v>200</v>
      </c>
      <c r="F109" s="256"/>
      <c r="G109" s="256"/>
      <c r="H109" s="256"/>
      <c r="I109" s="256"/>
      <c r="J109" s="257"/>
      <c r="K109" s="257"/>
      <c r="L109" s="257"/>
      <c r="M109" s="257"/>
      <c r="N109" s="257"/>
      <c r="O109" s="257"/>
      <c r="P109" s="257"/>
      <c r="Q109" s="257"/>
      <c r="R109" s="257"/>
      <c r="S109" s="257"/>
      <c r="T109" s="257"/>
      <c r="U109" s="256"/>
      <c r="V109" s="256"/>
      <c r="W109" s="256"/>
      <c r="X109" s="256"/>
      <c r="Y109" s="256"/>
      <c r="Z109" s="256"/>
      <c r="AA109" s="256"/>
      <c r="AB109" s="256"/>
      <c r="AC109" s="256"/>
      <c r="AD109" s="256"/>
      <c r="AE109" s="256"/>
      <c r="AF109" s="263"/>
    </row>
    <row r="110" spans="1:33" s="358" customFormat="1" ht="15.75" x14ac:dyDescent="0.25">
      <c r="B110" s="261"/>
      <c r="C110" s="256"/>
      <c r="D110" s="256"/>
      <c r="E110" s="262" t="s">
        <v>201</v>
      </c>
      <c r="F110" s="256"/>
      <c r="G110" s="256"/>
      <c r="H110" s="256"/>
      <c r="I110" s="256"/>
      <c r="J110" s="257"/>
      <c r="K110" s="257"/>
      <c r="L110" s="257"/>
      <c r="M110" s="257"/>
      <c r="N110" s="257"/>
      <c r="O110" s="257"/>
      <c r="P110" s="257"/>
      <c r="Q110" s="257"/>
      <c r="R110" s="257"/>
      <c r="S110" s="257"/>
      <c r="T110" s="257"/>
      <c r="U110" s="256"/>
      <c r="V110" s="256"/>
      <c r="W110" s="256"/>
      <c r="X110" s="256"/>
      <c r="Y110" s="256"/>
      <c r="Z110" s="256"/>
      <c r="AA110" s="256"/>
      <c r="AB110" s="256"/>
      <c r="AC110" s="256"/>
      <c r="AD110" s="256"/>
      <c r="AE110" s="256"/>
      <c r="AF110" s="263"/>
    </row>
    <row r="111" spans="1:33" ht="15.75" x14ac:dyDescent="0.25">
      <c r="A111" s="358"/>
      <c r="B111" s="261"/>
      <c r="C111" s="256"/>
      <c r="D111" s="256"/>
      <c r="E111" s="262" t="s">
        <v>202</v>
      </c>
      <c r="F111" s="256"/>
      <c r="G111" s="256"/>
      <c r="H111" s="256"/>
      <c r="I111" s="256"/>
      <c r="J111" s="257"/>
      <c r="K111" s="257"/>
      <c r="L111" s="257"/>
      <c r="M111" s="257"/>
      <c r="N111" s="257"/>
      <c r="O111" s="257"/>
      <c r="P111" s="257"/>
      <c r="Q111" s="257"/>
      <c r="R111" s="257"/>
      <c r="S111" s="257"/>
      <c r="T111" s="257"/>
      <c r="U111" s="256"/>
      <c r="V111" s="256"/>
      <c r="W111" s="256"/>
      <c r="X111" s="256"/>
      <c r="Y111" s="256"/>
      <c r="Z111" s="256"/>
      <c r="AA111" s="256"/>
      <c r="AB111" s="256"/>
      <c r="AC111" s="256"/>
      <c r="AD111" s="256"/>
      <c r="AE111" s="256"/>
      <c r="AF111" s="263"/>
      <c r="AG111" s="358"/>
    </row>
    <row r="112" spans="1:33" ht="16.5" thickBot="1" x14ac:dyDescent="0.3">
      <c r="A112" s="358"/>
      <c r="B112" s="264"/>
      <c r="C112" s="265"/>
      <c r="D112" s="265"/>
      <c r="E112" s="266" t="s">
        <v>195</v>
      </c>
      <c r="F112" s="265"/>
      <c r="G112" s="265"/>
      <c r="H112" s="265"/>
      <c r="I112" s="265"/>
      <c r="J112" s="267"/>
      <c r="K112" s="267"/>
      <c r="L112" s="257"/>
      <c r="M112" s="267"/>
      <c r="N112" s="267"/>
      <c r="O112" s="267"/>
      <c r="P112" s="267"/>
      <c r="Q112" s="267"/>
      <c r="R112" s="267"/>
      <c r="S112" s="267"/>
      <c r="T112" s="267"/>
      <c r="U112" s="265"/>
      <c r="V112" s="265"/>
      <c r="W112" s="265"/>
      <c r="X112" s="265"/>
      <c r="Y112" s="265"/>
      <c r="Z112" s="265"/>
      <c r="AA112" s="265"/>
      <c r="AB112" s="265"/>
      <c r="AC112" s="265"/>
      <c r="AD112" s="265"/>
      <c r="AE112" s="265"/>
      <c r="AF112" s="268"/>
      <c r="AG112" s="358"/>
    </row>
    <row r="113" spans="1:33" ht="16.5" thickBot="1" x14ac:dyDescent="0.3">
      <c r="A113" s="358"/>
      <c r="B113" s="358"/>
      <c r="C113" s="358"/>
      <c r="D113" s="358"/>
      <c r="E113" s="359"/>
      <c r="F113" s="358"/>
      <c r="G113" s="360"/>
      <c r="H113" s="358"/>
      <c r="I113" s="358"/>
      <c r="J113" s="358"/>
      <c r="K113" s="358"/>
      <c r="L113" s="267"/>
      <c r="M113" s="358"/>
      <c r="N113" s="358"/>
      <c r="O113" s="358"/>
      <c r="P113" s="358"/>
      <c r="Q113" s="358"/>
      <c r="R113" s="358"/>
      <c r="S113" s="358"/>
      <c r="T113" s="358"/>
      <c r="U113" s="358"/>
      <c r="V113" s="358"/>
      <c r="W113" s="358"/>
      <c r="X113" s="358"/>
      <c r="Y113" s="358"/>
      <c r="Z113" s="358"/>
      <c r="AA113" s="358"/>
      <c r="AB113" s="358"/>
      <c r="AC113" s="358"/>
      <c r="AD113" s="358"/>
      <c r="AE113" s="358"/>
      <c r="AF113" s="358"/>
      <c r="AG113" s="358"/>
    </row>
    <row r="114" spans="1:33" x14ac:dyDescent="0.2">
      <c r="A114" s="358"/>
      <c r="B114" s="358"/>
      <c r="C114" s="358"/>
      <c r="D114" s="358"/>
      <c r="E114" s="359"/>
      <c r="F114" s="358"/>
      <c r="G114" s="360"/>
      <c r="H114" s="358"/>
      <c r="U114" s="358"/>
      <c r="V114" s="358"/>
      <c r="W114" s="358"/>
      <c r="X114" s="358"/>
      <c r="Y114" s="358"/>
      <c r="Z114" s="358"/>
      <c r="AA114" s="358"/>
      <c r="AB114" s="358"/>
      <c r="AC114" s="358"/>
      <c r="AD114" s="358"/>
      <c r="AE114" s="358"/>
      <c r="AF114" s="358"/>
      <c r="AG114" s="358"/>
    </row>
    <row r="115" spans="1:33" ht="15.75" thickBot="1" x14ac:dyDescent="0.25">
      <c r="A115" s="358"/>
      <c r="B115" s="358"/>
      <c r="C115" s="358"/>
      <c r="D115" s="358"/>
      <c r="E115" s="359"/>
      <c r="F115" s="358"/>
      <c r="G115" s="360"/>
      <c r="H115" s="358"/>
      <c r="U115" s="358"/>
      <c r="V115" s="358"/>
      <c r="W115" s="358"/>
      <c r="X115" s="358"/>
      <c r="Y115" s="358"/>
      <c r="Z115" s="358"/>
      <c r="AA115" s="358"/>
      <c r="AB115" s="358"/>
      <c r="AC115" s="358"/>
      <c r="AD115" s="358"/>
      <c r="AE115" s="358"/>
      <c r="AF115" s="358"/>
      <c r="AG115" s="358"/>
    </row>
    <row r="116" spans="1:33" ht="16.5" thickBot="1" x14ac:dyDescent="0.3">
      <c r="A116" s="358"/>
      <c r="B116" s="358"/>
      <c r="C116" s="358"/>
      <c r="D116" s="358"/>
      <c r="E116" s="358"/>
      <c r="F116" s="358"/>
      <c r="G116" s="358"/>
      <c r="H116" s="358"/>
      <c r="T116" s="2" t="s">
        <v>350</v>
      </c>
      <c r="U116" s="438"/>
      <c r="V116" s="438"/>
      <c r="W116" s="438"/>
      <c r="X116" s="438"/>
      <c r="Y116" s="438"/>
      <c r="Z116" s="438"/>
      <c r="AA116" s="438"/>
      <c r="AB116" s="439"/>
      <c r="AC116" s="358"/>
      <c r="AD116" s="358"/>
      <c r="AE116" s="358"/>
      <c r="AF116" s="358"/>
      <c r="AG116" s="358"/>
    </row>
    <row r="117" spans="1:33" ht="15.75" x14ac:dyDescent="0.25">
      <c r="X117" s="1" t="s">
        <v>384</v>
      </c>
      <c r="Y117" s="461"/>
      <c r="Z117" s="461"/>
      <c r="AA117" s="412"/>
      <c r="AB117" s="422"/>
    </row>
    <row r="118" spans="1:33" ht="15.75" x14ac:dyDescent="0.25">
      <c r="T118" s="430" t="s">
        <v>305</v>
      </c>
      <c r="X118" s="944">
        <f>IF('Key inputs &amp; Outputs'!F14="No",1,2)</f>
        <v>2</v>
      </c>
      <c r="Y118" s="411">
        <v>1</v>
      </c>
      <c r="Z118" s="411">
        <v>2</v>
      </c>
      <c r="AA118" s="431" t="s">
        <v>314</v>
      </c>
      <c r="AB118" s="411" t="s">
        <v>385</v>
      </c>
    </row>
    <row r="119" spans="1:33" ht="15.75" x14ac:dyDescent="0.25">
      <c r="T119" s="430" t="s">
        <v>799</v>
      </c>
      <c r="X119" s="963">
        <f>G41</f>
        <v>3869061.598421386</v>
      </c>
      <c r="Y119" s="963">
        <f t="dataTable" ref="Y119:Z144" dt2D="0" dtr="1" r1="X118" ca="1"/>
        <v>3417657.8516103798</v>
      </c>
      <c r="Z119" s="963">
        <v>3869061.598421386</v>
      </c>
      <c r="AA119" s="412">
        <f t="shared" ref="AA119" si="1">Z119-Y119</f>
        <v>451403.74681100622</v>
      </c>
      <c r="AB119" s="440">
        <f t="shared" ref="AB119" si="2">AA119/Y119</f>
        <v>0.13207985304857461</v>
      </c>
    </row>
    <row r="120" spans="1:33" ht="15.75" x14ac:dyDescent="0.25">
      <c r="T120" s="430"/>
      <c r="X120" s="944"/>
      <c r="Y120" s="981">
        <v>0</v>
      </c>
      <c r="Z120" s="981">
        <v>0</v>
      </c>
      <c r="AA120" s="982"/>
      <c r="AB120" s="411"/>
    </row>
    <row r="121" spans="1:33" ht="15.75" x14ac:dyDescent="0.25">
      <c r="E121" s="789" t="s">
        <v>24</v>
      </c>
      <c r="F121" s="789" t="str">
        <f ca="1">CELL("address",'Financial Inputs'!G9)</f>
        <v>$G$9</v>
      </c>
      <c r="G121" s="886" cm="1">
        <f t="array" aca="1" ref="G121" ca="1">INDIRECT(F121)</f>
        <v>405.49126514620104</v>
      </c>
      <c r="T121" s="411"/>
      <c r="X121" s="421"/>
      <c r="Y121" s="983">
        <v>0</v>
      </c>
      <c r="Z121" s="983">
        <v>0</v>
      </c>
      <c r="AA121" s="984">
        <f t="shared" ref="AA121:AA125" si="3">Z121-Y121</f>
        <v>0</v>
      </c>
      <c r="AB121" s="440"/>
    </row>
    <row r="122" spans="1:33" ht="15.75" x14ac:dyDescent="0.25">
      <c r="E122" s="789" t="s">
        <v>640</v>
      </c>
      <c r="F122" s="789" t="str">
        <f ca="1">CELL("address",'Financial Inputs'!G29)</f>
        <v>$G$29</v>
      </c>
      <c r="G122" s="789" t="str" cm="1">
        <f t="array" aca="1" ref="G122" ca="1">INDIRECT(F122)</f>
        <v>Simple</v>
      </c>
      <c r="T122" s="411" t="s">
        <v>782</v>
      </c>
      <c r="X122" s="421">
        <f ca="1">IFERROR('Detailed Cash Flow'!D70,"Negative")</f>
        <v>0.1288255256694637</v>
      </c>
      <c r="Y122" s="440">
        <v>0.18678911454198399</v>
      </c>
      <c r="Z122" s="440">
        <v>0.1288255256694637</v>
      </c>
      <c r="AA122" s="422">
        <f t="shared" si="3"/>
        <v>-5.7963588872520289E-2</v>
      </c>
      <c r="AB122" s="440">
        <f t="shared" ref="AB122:AB124" si="4">AA122/Y122</f>
        <v>-0.31031566809795008</v>
      </c>
    </row>
    <row r="123" spans="1:33" ht="15.75" x14ac:dyDescent="0.25">
      <c r="E123" s="789" t="s">
        <v>104</v>
      </c>
      <c r="F123" s="789" t="str">
        <f ca="1">CELL("address",G38)</f>
        <v>$G$38</v>
      </c>
      <c r="G123" s="789" cm="1">
        <f t="array" aca="1" ref="G123" ca="1">INDIRECT(F123)</f>
        <v>3528533.7671585921</v>
      </c>
      <c r="T123" s="411" t="str">
        <f>"Net present value @ "&amp;FIXED(P156*100,1)&amp;"% (over defined useful life)"</f>
        <v>Net present value @ 10.0% (over defined useful life)</v>
      </c>
      <c r="X123" s="412">
        <f ca="1">'Detailed Cash Flow'!D71</f>
        <v>484414.39860387892</v>
      </c>
      <c r="Y123" s="412">
        <v>1347178.7742981208</v>
      </c>
      <c r="Z123" s="412">
        <v>484414.39860387892</v>
      </c>
      <c r="AA123" s="412">
        <f t="shared" si="3"/>
        <v>-862764.37569424184</v>
      </c>
      <c r="AB123" s="440">
        <f t="shared" si="4"/>
        <v>-0.64042307684348831</v>
      </c>
    </row>
    <row r="124" spans="1:33" ht="15.75" x14ac:dyDescent="0.25">
      <c r="E124" s="789" t="s">
        <v>119</v>
      </c>
      <c r="F124" s="789" t="str">
        <f ca="1">CELL("address",'Financial Inputs'!G34)</f>
        <v>$G$34</v>
      </c>
      <c r="G124" s="789" cm="1">
        <f t="array" aca="1" ref="G124" ca="1">INDIRECT(F124)</f>
        <v>745001.5369447656</v>
      </c>
      <c r="T124" s="411" t="str">
        <f>'Detailed Cash Flow'!B72</f>
        <v>Year 1 net cash flow</v>
      </c>
      <c r="X124" s="412">
        <f ca="1">'Detailed Cash Flow'!D72</f>
        <v>49739.428291780685</v>
      </c>
      <c r="Y124" s="412">
        <v>138327.64309552425</v>
      </c>
      <c r="Z124" s="412">
        <v>49739.428291780685</v>
      </c>
      <c r="AA124" s="412">
        <f t="shared" si="3"/>
        <v>-88588.214803743569</v>
      </c>
      <c r="AB124" s="440">
        <f t="shared" si="4"/>
        <v>-0.64042307684348843</v>
      </c>
    </row>
    <row r="125" spans="1:33" ht="15.75" x14ac:dyDescent="0.25">
      <c r="E125" s="789" t="s">
        <v>121</v>
      </c>
      <c r="F125" s="789" t="str">
        <f ca="1">CELL("address",'Financial Inputs'!G35)</f>
        <v>$G$35</v>
      </c>
      <c r="G125" s="789" cm="1">
        <f t="array" aca="1" ref="G125" ca="1">INDIRECT(F125)</f>
        <v>2485114.2476281081</v>
      </c>
      <c r="T125" s="411" t="str">
        <f>'Detailed Cash Flow'!B90</f>
        <v>Electricity</v>
      </c>
      <c r="U125" s="411" t="s">
        <v>549</v>
      </c>
      <c r="X125" s="412">
        <f>'Detailed Cash Flow'!E90</f>
        <v>258948.34388742479</v>
      </c>
      <c r="Y125" s="412">
        <v>222854.97417204006</v>
      </c>
      <c r="Z125" s="412">
        <v>258948.34388742479</v>
      </c>
      <c r="AA125" s="412">
        <f t="shared" si="3"/>
        <v>36093.369715384732</v>
      </c>
      <c r="AB125" s="440">
        <f>AA125/Y125</f>
        <v>0.16195900427836668</v>
      </c>
    </row>
    <row r="126" spans="1:33" ht="15.75" x14ac:dyDescent="0.25">
      <c r="E126" s="789" t="s">
        <v>122</v>
      </c>
      <c r="F126" s="789" t="str">
        <f ca="1">CELL("address",'Financial Inputs'!G36)</f>
        <v>$G$36</v>
      </c>
      <c r="G126" s="789" cm="1">
        <f t="array" aca="1" ref="G126" ca="1">INDIRECT(F126)</f>
        <v>298417.98258571845</v>
      </c>
      <c r="T126" s="411" t="s">
        <v>837</v>
      </c>
      <c r="U126" s="411"/>
      <c r="X126" s="412">
        <f>'Detailed Cash Flow'!G16</f>
        <v>182500</v>
      </c>
      <c r="Y126" s="412">
        <v>182500</v>
      </c>
      <c r="Z126" s="412">
        <v>182500</v>
      </c>
      <c r="AA126" s="412">
        <f t="shared" ref="AA126" si="5">Z126-Y126</f>
        <v>0</v>
      </c>
      <c r="AB126" s="440">
        <f>AA126/Y126</f>
        <v>0</v>
      </c>
    </row>
    <row r="127" spans="1:33" ht="15.75" x14ac:dyDescent="0.25">
      <c r="E127" s="789" t="s">
        <v>123</v>
      </c>
      <c r="F127" s="789" t="str">
        <f ca="1">CELL("address",'Financial Inputs'!G37)</f>
        <v>$G$37</v>
      </c>
      <c r="G127" s="789" cm="1">
        <f t="array" aca="1" ref="G127" ca="1">INDIRECT(F127)</f>
        <v>0</v>
      </c>
      <c r="T127" s="411" t="str">
        <f>'Detailed Cash Flow'!B92</f>
        <v>Waste Heat</v>
      </c>
      <c r="U127" s="411" t="s">
        <v>549</v>
      </c>
      <c r="X127" s="412">
        <f>'Financial Inputs'!P11*G9*IF(X118=2,(Switchgrass_Key_Inputs!C36+Switchgrass_Key_Inputs!E36)/Switchgrass_Key_Inputs!C36,1)</f>
        <v>49472.24380274977</v>
      </c>
      <c r="Y127" s="412">
        <v>36642.069714665406</v>
      </c>
      <c r="Z127" s="412">
        <v>49472.24380274977</v>
      </c>
      <c r="AA127" s="412">
        <f t="shared" ref="AA127:AA133" si="6">Z127-Y127</f>
        <v>12830.174088084364</v>
      </c>
      <c r="AB127" s="440">
        <f t="shared" ref="AB127:AB131" si="7">AA127/Y127</f>
        <v>0.35014872762357341</v>
      </c>
    </row>
    <row r="128" spans="1:33" ht="15.75" x14ac:dyDescent="0.25">
      <c r="E128" s="789" t="s">
        <v>413</v>
      </c>
      <c r="F128" s="789" t="str">
        <f ca="1">CELL("address",'Financial Inputs'!G43)</f>
        <v>$G$43</v>
      </c>
      <c r="G128" s="789" cm="1">
        <f t="array" aca="1" ref="G128" ca="1">INDIRECT(F128)</f>
        <v>550667.15019854461</v>
      </c>
      <c r="T128" s="411" t="str">
        <f>'Detailed Cash Flow'!B93</f>
        <v>Nutrient value</v>
      </c>
      <c r="U128" s="411" t="s">
        <v>549</v>
      </c>
      <c r="X128" s="412">
        <f>'Nutrient Calculations'!AT66*Y166</f>
        <v>127231.47841531181</v>
      </c>
      <c r="Y128" s="412">
        <v>100469.85678579504</v>
      </c>
      <c r="Z128" s="412">
        <v>127231.47841531181</v>
      </c>
      <c r="AA128" s="412">
        <f t="shared" si="6"/>
        <v>26761.621629516769</v>
      </c>
      <c r="AB128" s="440">
        <f t="shared" ref="AB128" si="8">AA128/Y128</f>
        <v>0.26636468375358996</v>
      </c>
    </row>
    <row r="129" spans="5:28" ht="15.75" x14ac:dyDescent="0.25">
      <c r="E129" s="789" t="s">
        <v>82</v>
      </c>
      <c r="F129" s="789" t="str">
        <f ca="1">CELL("address",'Financial Inputs'!G48)</f>
        <v>$G$48</v>
      </c>
      <c r="G129" s="789" cm="1">
        <f t="array" aca="1" ref="G129" ca="1">INDIRECT(F129)</f>
        <v>50185.368410481227</v>
      </c>
      <c r="T129" s="411" t="s">
        <v>439</v>
      </c>
      <c r="U129" s="411" t="s">
        <v>549</v>
      </c>
      <c r="X129" s="412">
        <f>'Detailed Cash Flow'!E94*IF(X118=2,(1+Switchgrass_Key_Inputs!D33),1)</f>
        <v>158428.91793005992</v>
      </c>
      <c r="Y129" s="412">
        <v>73957.18309859166</v>
      </c>
      <c r="Z129" s="412">
        <v>158428.91793005992</v>
      </c>
      <c r="AA129" s="412">
        <f t="shared" si="6"/>
        <v>84471.73483146826</v>
      </c>
      <c r="AB129" s="440">
        <f t="shared" ref="AB129" si="9">AA129/Y129</f>
        <v>1.1421707979177593</v>
      </c>
    </row>
    <row r="130" spans="5:28" ht="15.75" x14ac:dyDescent="0.25">
      <c r="E130" s="789" t="s">
        <v>642</v>
      </c>
      <c r="F130" s="789" t="str">
        <f ca="1">CELL("address",'Financial Inputs'!G54)</f>
        <v>$G$54</v>
      </c>
      <c r="G130" s="789" cm="1">
        <f t="array" aca="1" ref="G130" ca="1">INDIRECT(F130)</f>
        <v>128310.31880576711</v>
      </c>
      <c r="T130" s="411" t="str">
        <f>'Detailed Cash Flow'!B95</f>
        <v>Govt incentives</v>
      </c>
      <c r="X130" s="412">
        <f>'Detailed Cash Flow'!E95</f>
        <v>55799.590641265808</v>
      </c>
      <c r="Y130" s="412">
        <v>48021.995987646791</v>
      </c>
      <c r="Z130" s="412">
        <v>55799.590641265808</v>
      </c>
      <c r="AA130" s="412">
        <f t="shared" si="6"/>
        <v>7777.5946536190168</v>
      </c>
      <c r="AB130" s="440">
        <f t="shared" si="7"/>
        <v>0.16195900427836715</v>
      </c>
    </row>
    <row r="131" spans="5:28" ht="15.75" x14ac:dyDescent="0.25">
      <c r="E131" s="789" t="s">
        <v>641</v>
      </c>
      <c r="F131" s="789" t="str">
        <f ca="1">CELL("address",'Financial Inputs'!G51)</f>
        <v>$G$51</v>
      </c>
      <c r="G131" s="789" cm="1">
        <f t="array" aca="1" ref="G131" ca="1">INDIRECT(F131)</f>
        <v>74500.153694476568</v>
      </c>
      <c r="T131" s="411" t="str">
        <f>'Detailed Cash Flow'!B97</f>
        <v>O&amp;M</v>
      </c>
      <c r="U131" s="411" t="s">
        <v>549</v>
      </c>
      <c r="X131" s="412">
        <f>'Detailed Cash Flow'!F97</f>
        <v>243113.13952253672</v>
      </c>
      <c r="Y131" s="412">
        <v>43463.890796624801</v>
      </c>
      <c r="Z131" s="412">
        <v>243113.13952253672</v>
      </c>
      <c r="AA131" s="412">
        <f t="shared" si="6"/>
        <v>199649.24872591192</v>
      </c>
      <c r="AB131" s="440">
        <f t="shared" si="7"/>
        <v>4.5934509098623018</v>
      </c>
    </row>
    <row r="132" spans="5:28" ht="15.75" x14ac:dyDescent="0.25">
      <c r="E132" s="789" t="s">
        <v>278</v>
      </c>
      <c r="F132" s="789" t="str">
        <f ca="1">CELL("address",'Financial Inputs'!P11)</f>
        <v>$P$11</v>
      </c>
      <c r="G132" s="789" cm="1">
        <f t="array" aca="1" ref="G132" ca="1">INDIRECT(F132)</f>
        <v>105</v>
      </c>
      <c r="T132" s="411" t="str">
        <f>'Detailed Cash Flow'!B101</f>
        <v>Equip replace</v>
      </c>
      <c r="X132" s="412">
        <f>'Detailed Cash Flow'!F101</f>
        <v>39566.839417554052</v>
      </c>
      <c r="Y132" s="412">
        <v>34383.001442277258</v>
      </c>
      <c r="Z132" s="412">
        <v>39566.839417554052</v>
      </c>
      <c r="AA132" s="412">
        <f t="shared" si="6"/>
        <v>5183.8379752767942</v>
      </c>
      <c r="AB132" s="440">
        <f>AA132/Y132</f>
        <v>0.15076746525400075</v>
      </c>
    </row>
    <row r="133" spans="5:28" ht="15.75" x14ac:dyDescent="0.25">
      <c r="T133" s="411" t="str">
        <f>'Detailed Cash Flow'!B102</f>
        <v>Taxes</v>
      </c>
      <c r="X133" s="412">
        <f ca="1">'Detailed Cash Flow'!F102</f>
        <v>39982.598816580365</v>
      </c>
      <c r="Y133" s="412">
        <v>94453.418629777399</v>
      </c>
      <c r="Z133" s="412">
        <v>39982.598816580365</v>
      </c>
      <c r="AA133" s="412">
        <f t="shared" si="6"/>
        <v>-54470.819813197035</v>
      </c>
      <c r="AB133" s="440">
        <f>AA133/Y133</f>
        <v>-0.57669505882791372</v>
      </c>
    </row>
    <row r="134" spans="5:28" ht="15.75" x14ac:dyDescent="0.25">
      <c r="X134" s="412"/>
      <c r="Y134" s="642">
        <v>0</v>
      </c>
      <c r="Z134" s="642">
        <v>0</v>
      </c>
      <c r="AA134" s="422"/>
      <c r="AB134" s="440"/>
    </row>
    <row r="135" spans="5:28" ht="15.75" x14ac:dyDescent="0.25">
      <c r="T135" s="411" t="s">
        <v>24</v>
      </c>
      <c r="X135" s="961">
        <f>G9</f>
        <v>405.49126514620104</v>
      </c>
      <c r="Y135" s="961">
        <v>348.97209252062288</v>
      </c>
      <c r="Z135" s="961">
        <v>405.49126514620104</v>
      </c>
      <c r="AA135" s="962">
        <f>Z135-Y135</f>
        <v>56.519172625578165</v>
      </c>
      <c r="AB135" s="440">
        <v>0.16195900427836682</v>
      </c>
    </row>
    <row r="136" spans="5:28" ht="15.75" x14ac:dyDescent="0.25">
      <c r="T136" s="411" t="s">
        <v>784</v>
      </c>
      <c r="X136" s="412">
        <f>G38</f>
        <v>3528533.7671585921</v>
      </c>
      <c r="Y136" s="412">
        <v>3229205</v>
      </c>
      <c r="Z136" s="412">
        <v>3528533.7671585921</v>
      </c>
      <c r="AA136" s="972">
        <f t="shared" ref="AA136:AA144" si="10">Z136-Y136</f>
        <v>299328.76715859212</v>
      </c>
      <c r="AB136" s="440"/>
    </row>
    <row r="137" spans="5:28" ht="15.75" x14ac:dyDescent="0.25">
      <c r="T137" s="411" t="s">
        <v>119</v>
      </c>
      <c r="X137" s="412">
        <f>IF($G$29="intermediate",G34,IF($G$29="Simple",$G$9*$G$30,'Complex Inputs'!C26))</f>
        <v>745001.5369447656</v>
      </c>
      <c r="Y137" s="412">
        <v>641159.91545454564</v>
      </c>
      <c r="Z137" s="412">
        <v>745001.5369447656</v>
      </c>
      <c r="AA137" s="972">
        <f t="shared" si="10"/>
        <v>103841.62149021996</v>
      </c>
      <c r="AB137" s="440"/>
    </row>
    <row r="138" spans="5:28" ht="15.75" x14ac:dyDescent="0.25">
      <c r="T138" s="411" t="s">
        <v>121</v>
      </c>
      <c r="X138" s="412">
        <f>G35</f>
        <v>2485114.2476281081</v>
      </c>
      <c r="Y138" s="412">
        <v>2331221.9251336898</v>
      </c>
      <c r="Z138" s="412">
        <v>2485114.2476281081</v>
      </c>
      <c r="AA138" s="972">
        <f t="shared" si="10"/>
        <v>153892.32249441836</v>
      </c>
      <c r="AB138" s="440"/>
    </row>
    <row r="139" spans="5:28" ht="15.75" x14ac:dyDescent="0.25">
      <c r="T139" s="411" t="s">
        <v>122</v>
      </c>
      <c r="X139" s="412">
        <f>G36</f>
        <v>298417.98258571845</v>
      </c>
      <c r="Y139" s="412">
        <v>256823.15941176476</v>
      </c>
      <c r="Z139" s="412">
        <v>298417.98258571845</v>
      </c>
      <c r="AA139" s="972">
        <f t="shared" si="10"/>
        <v>41594.823173953686</v>
      </c>
      <c r="AB139" s="440"/>
    </row>
    <row r="140" spans="5:28" ht="15.75" x14ac:dyDescent="0.25">
      <c r="T140" s="411" t="s">
        <v>123</v>
      </c>
      <c r="X140" s="412">
        <f>G37</f>
        <v>0</v>
      </c>
      <c r="Y140" s="412">
        <v>0</v>
      </c>
      <c r="Z140" s="412">
        <v>0</v>
      </c>
      <c r="AA140" s="972">
        <f t="shared" si="10"/>
        <v>0</v>
      </c>
      <c r="AB140" s="440"/>
    </row>
    <row r="141" spans="5:28" ht="15.75" x14ac:dyDescent="0.25">
      <c r="T141" s="411" t="s">
        <v>413</v>
      </c>
      <c r="X141" s="412">
        <f>G43</f>
        <v>550667.15019854461</v>
      </c>
      <c r="Y141" s="412">
        <v>473912.71823788295</v>
      </c>
      <c r="Z141" s="412">
        <v>550667.15019854461</v>
      </c>
      <c r="AA141" s="972">
        <f t="shared" si="10"/>
        <v>76754.431960661663</v>
      </c>
      <c r="AB141" s="440"/>
    </row>
    <row r="142" spans="5:28" ht="15.75" x14ac:dyDescent="0.25">
      <c r="T142" s="411"/>
      <c r="X142" s="412"/>
      <c r="Y142" s="412">
        <v>0</v>
      </c>
      <c r="Z142" s="412">
        <v>0</v>
      </c>
      <c r="AA142" s="972">
        <f t="shared" si="10"/>
        <v>0</v>
      </c>
      <c r="AB142" s="440"/>
    </row>
    <row r="143" spans="5:28" ht="15.75" x14ac:dyDescent="0.25">
      <c r="T143" s="411" t="s">
        <v>389</v>
      </c>
      <c r="X143" s="412">
        <f>G48</f>
        <v>50185.368410481227</v>
      </c>
      <c r="Y143" s="412">
        <v>45115.248309090915</v>
      </c>
      <c r="Z143" s="412">
        <v>50185.368410481227</v>
      </c>
      <c r="AA143" s="972">
        <f t="shared" si="10"/>
        <v>5070.1201013903119</v>
      </c>
      <c r="AB143" s="440"/>
    </row>
    <row r="144" spans="5:28" ht="15.75" x14ac:dyDescent="0.25">
      <c r="T144" s="411" t="s">
        <v>375</v>
      </c>
      <c r="X144" s="412">
        <f>G54</f>
        <v>128310.31880576711</v>
      </c>
      <c r="Y144" s="412">
        <v>117425.63636363647</v>
      </c>
      <c r="Z144" s="412">
        <v>128310.31880576711</v>
      </c>
      <c r="AA144" s="972">
        <f t="shared" si="10"/>
        <v>10884.682442130637</v>
      </c>
      <c r="AB144" s="440"/>
    </row>
    <row r="145" spans="5:28" ht="16.5" thickBot="1" x14ac:dyDescent="0.3">
      <c r="N145" s="1" t="s">
        <v>864</v>
      </c>
      <c r="T145" s="411"/>
      <c r="X145" s="961"/>
      <c r="Y145" s="961"/>
      <c r="Z145" s="961"/>
      <c r="AA145" s="962"/>
      <c r="AB145" s="440"/>
    </row>
    <row r="146" spans="5:28" ht="16.5" thickBot="1" x14ac:dyDescent="0.3">
      <c r="E146"/>
      <c r="F146"/>
      <c r="G146"/>
      <c r="N146" s="618" t="s">
        <v>565</v>
      </c>
      <c r="O146" s="326" t="s">
        <v>193</v>
      </c>
      <c r="P146" s="292" t="s">
        <v>216</v>
      </c>
      <c r="T146" s="2" t="s">
        <v>391</v>
      </c>
      <c r="U146" s="438"/>
      <c r="V146" s="439"/>
      <c r="Y146" s="2" t="s">
        <v>386</v>
      </c>
      <c r="Z146" s="438"/>
      <c r="AA146" s="439"/>
    </row>
    <row r="147" spans="5:28" ht="15.75" x14ac:dyDescent="0.25">
      <c r="E147"/>
      <c r="F147"/>
      <c r="G147"/>
      <c r="N147" s="387" t="s">
        <v>373</v>
      </c>
      <c r="O147" s="619" t="s">
        <v>283</v>
      </c>
      <c r="P147" s="617">
        <f>'Key inputs &amp; Outputs'!F8</f>
        <v>0.09</v>
      </c>
      <c r="T147" s="420">
        <v>1</v>
      </c>
      <c r="U147" s="411" t="s">
        <v>392</v>
      </c>
      <c r="V147" s="411" t="s">
        <v>303</v>
      </c>
      <c r="AA147" s="411" t="s">
        <v>303</v>
      </c>
    </row>
    <row r="148" spans="5:28" ht="15.75" x14ac:dyDescent="0.25">
      <c r="E148"/>
      <c r="F148"/>
      <c r="G148"/>
      <c r="N148" s="387" t="s">
        <v>367</v>
      </c>
      <c r="O148" s="471" t="s">
        <v>264</v>
      </c>
      <c r="P148" s="615">
        <f>'Key inputs &amp; Outputs'!F9</f>
        <v>10</v>
      </c>
      <c r="T148" s="156" t="s">
        <v>385</v>
      </c>
      <c r="U148" s="464">
        <f>G38</f>
        <v>3528533.7671585921</v>
      </c>
      <c r="V148" s="464">
        <f ca="1">'Detailed Cash Flow'!D72</f>
        <v>49739.428291780685</v>
      </c>
      <c r="Z148" s="411" t="s">
        <v>283</v>
      </c>
      <c r="AA148" s="463">
        <f ca="1">'Detailed Cash Flow'!$D$72</f>
        <v>49739.428291780685</v>
      </c>
    </row>
    <row r="149" spans="5:28" ht="15.75" x14ac:dyDescent="0.25">
      <c r="E149"/>
      <c r="F149"/>
      <c r="G149"/>
      <c r="N149" s="387" t="s">
        <v>368</v>
      </c>
      <c r="O149" s="471" t="s">
        <v>566</v>
      </c>
      <c r="P149" s="616">
        <f>'Key inputs &amp; Outputs'!F6</f>
        <v>18250</v>
      </c>
      <c r="T149" s="420">
        <v>0.5</v>
      </c>
      <c r="U149" s="412">
        <f t="dataTable" ref="U149:V153" dt2D="0" dtr="0" r1="T147" ca="1"/>
        <v>3528533.7671585921</v>
      </c>
      <c r="V149" s="412">
        <v>49739.428291780685</v>
      </c>
      <c r="Y149" s="420">
        <v>0.5</v>
      </c>
      <c r="Z149" s="411">
        <f>$Z$151*Y149/$Y$151</f>
        <v>0.03</v>
      </c>
      <c r="AA149" s="412">
        <f t="dataTable" ref="AA149:AA154" dt2D="0" dtr="0" r1="P147" ca="1"/>
        <v>-54616.754294851482</v>
      </c>
    </row>
    <row r="150" spans="5:28" ht="15.75" x14ac:dyDescent="0.25">
      <c r="E150"/>
      <c r="F150"/>
      <c r="G150"/>
      <c r="N150" s="387" t="s">
        <v>369</v>
      </c>
      <c r="O150" s="471" t="s">
        <v>279</v>
      </c>
      <c r="P150" s="616">
        <f>'Financial Inputs'!P11*G9</f>
        <v>42576.582840351111</v>
      </c>
      <c r="T150" s="420">
        <v>0.75</v>
      </c>
      <c r="U150" s="412">
        <v>3528533.7671585921</v>
      </c>
      <c r="V150" s="412">
        <v>49739.428291780685</v>
      </c>
      <c r="Y150" s="420">
        <v>0.75</v>
      </c>
      <c r="Z150" s="411">
        <f>$Z$151*Y150/$Y$151</f>
        <v>4.4999999999999998E-2</v>
      </c>
      <c r="AA150" s="412">
        <v>-28527.708648193402</v>
      </c>
    </row>
    <row r="151" spans="5:28" ht="15.75" x14ac:dyDescent="0.25">
      <c r="N151" s="396" t="s">
        <v>777</v>
      </c>
      <c r="O151" s="7" t="s">
        <v>279</v>
      </c>
      <c r="P151" s="601">
        <f>'Nutrient Calculations'!AT66*Y166</f>
        <v>127231.47841531181</v>
      </c>
      <c r="T151" s="467">
        <v>1</v>
      </c>
      <c r="U151" s="413">
        <v>3528533.7671585921</v>
      </c>
      <c r="V151" s="413">
        <v>49739.428291780685</v>
      </c>
      <c r="Y151" s="467">
        <v>1</v>
      </c>
      <c r="Z151" s="466">
        <v>0.06</v>
      </c>
      <c r="AA151" s="413">
        <v>-2438.6630015353762</v>
      </c>
    </row>
    <row r="152" spans="5:28" ht="15.75" x14ac:dyDescent="0.25">
      <c r="N152" s="396" t="s">
        <v>417</v>
      </c>
      <c r="O152" s="7" t="s">
        <v>279</v>
      </c>
      <c r="P152" s="601">
        <f>IF(X118=1,'Nutrient Calculations'!N79,'Nutrient Calculations'!AF79)</f>
        <v>125350.22533913102</v>
      </c>
      <c r="T152" s="420">
        <v>1.25</v>
      </c>
      <c r="U152" s="412">
        <v>3528533.7671585921</v>
      </c>
      <c r="V152" s="412">
        <v>49739.428291780685</v>
      </c>
      <c r="Y152" s="420">
        <v>1.25</v>
      </c>
      <c r="Z152" s="411">
        <f t="shared" ref="Z152:Z154" si="11">$Z$151*Y152/$Y$151</f>
        <v>7.4999999999999997E-2</v>
      </c>
      <c r="AA152" s="412">
        <v>23650.382645122703</v>
      </c>
    </row>
    <row r="153" spans="5:28" ht="15.75" x14ac:dyDescent="0.25">
      <c r="N153" s="368" t="s">
        <v>416</v>
      </c>
      <c r="O153" s="7" t="s">
        <v>1</v>
      </c>
      <c r="P153" s="613">
        <f>G55</f>
        <v>0.02</v>
      </c>
      <c r="T153" s="420">
        <v>1.5</v>
      </c>
      <c r="U153" s="412">
        <v>3528533.7671585921</v>
      </c>
      <c r="V153" s="412">
        <v>49739.428291780685</v>
      </c>
      <c r="Y153" s="420">
        <v>1.5</v>
      </c>
      <c r="Z153" s="411">
        <f t="shared" si="11"/>
        <v>0.09</v>
      </c>
      <c r="AA153" s="412">
        <v>49739.428291780685</v>
      </c>
    </row>
    <row r="154" spans="5:28" ht="16.5" thickBot="1" x14ac:dyDescent="0.3">
      <c r="T154" s="411"/>
      <c r="U154" s="411"/>
      <c r="V154" s="411"/>
      <c r="Y154" s="420">
        <v>1.75</v>
      </c>
      <c r="Z154" s="411">
        <f t="shared" si="11"/>
        <v>0.105</v>
      </c>
      <c r="AA154" s="412">
        <v>75828.473938438721</v>
      </c>
    </row>
    <row r="155" spans="5:28" ht="16.5" thickBot="1" x14ac:dyDescent="0.3">
      <c r="N155" s="368" t="s">
        <v>149</v>
      </c>
      <c r="O155" s="7"/>
      <c r="P155" s="1018">
        <f>P54</f>
        <v>1.2</v>
      </c>
      <c r="T155" s="2" t="s">
        <v>387</v>
      </c>
      <c r="U155" s="438"/>
      <c r="V155" s="439"/>
    </row>
    <row r="156" spans="5:28" ht="16.5" thickBot="1" x14ac:dyDescent="0.3">
      <c r="N156" s="329" t="s">
        <v>564</v>
      </c>
      <c r="O156" s="320" t="s">
        <v>1</v>
      </c>
      <c r="P156" s="612">
        <f>G80</f>
        <v>0.1</v>
      </c>
      <c r="Q156" s="9" t="s">
        <v>7</v>
      </c>
      <c r="V156" s="411" t="s">
        <v>303</v>
      </c>
      <c r="Y156" s="2" t="s">
        <v>348</v>
      </c>
      <c r="Z156" s="438"/>
      <c r="AA156" s="439"/>
    </row>
    <row r="157" spans="5:28" ht="15.75" x14ac:dyDescent="0.25">
      <c r="N157" s="317" t="s">
        <v>146</v>
      </c>
      <c r="O157" s="5" t="s">
        <v>1</v>
      </c>
      <c r="P157" s="607">
        <f>G68</f>
        <v>0.08</v>
      </c>
      <c r="Q157" s="9" t="s">
        <v>7</v>
      </c>
      <c r="U157" s="1" t="s">
        <v>37</v>
      </c>
      <c r="V157" s="465">
        <f ca="1">'Detailed Cash Flow'!$D$72</f>
        <v>49739.428291780685</v>
      </c>
      <c r="Z157" s="411"/>
      <c r="AA157" s="411" t="s">
        <v>303</v>
      </c>
    </row>
    <row r="158" spans="5:28" ht="16.5" thickBot="1" x14ac:dyDescent="0.3">
      <c r="N158" s="317" t="s">
        <v>242</v>
      </c>
      <c r="O158" s="5" t="s">
        <v>3</v>
      </c>
      <c r="P158" s="606">
        <f>G67</f>
        <v>10</v>
      </c>
      <c r="Q158" s="9" t="s">
        <v>7</v>
      </c>
      <c r="T158" s="420">
        <v>0.5</v>
      </c>
      <c r="U158" s="411">
        <f>$U$160*T158/$T$160</f>
        <v>10</v>
      </c>
      <c r="V158" s="412">
        <f t="dataTable" ref="V158:V162" dt2D="0" dtr="0" r1="G24" ca="1"/>
        <v>-45533.310246241817</v>
      </c>
      <c r="Z158" s="411" t="s">
        <v>302</v>
      </c>
      <c r="AA158" s="465">
        <f ca="1">'Detailed Cash Flow'!$D$72</f>
        <v>49739.428291780685</v>
      </c>
    </row>
    <row r="159" spans="5:28" ht="16.5" thickBot="1" x14ac:dyDescent="0.3">
      <c r="N159" s="308" t="s">
        <v>724</v>
      </c>
      <c r="O159" s="309" t="s">
        <v>1</v>
      </c>
      <c r="P159" s="605">
        <f>G66</f>
        <v>0.25</v>
      </c>
      <c r="Q159" s="9" t="s">
        <v>7</v>
      </c>
      <c r="T159" s="420">
        <v>0.75</v>
      </c>
      <c r="U159" s="411">
        <f>$U$160*T159/$T$160</f>
        <v>15</v>
      </c>
      <c r="V159" s="412">
        <v>18927.612334922636</v>
      </c>
      <c r="Y159" s="420">
        <v>0.75</v>
      </c>
      <c r="Z159" s="412">
        <f>$Z$160*Y159/$Y$160</f>
        <v>7.5</v>
      </c>
      <c r="AA159" s="408">
        <f t="dataTable" ref="AA159:AA163" dt2D="0" dtr="0" r1="P148" ca="1"/>
        <v>22159.115791780761</v>
      </c>
    </row>
    <row r="160" spans="5:28" ht="15.75" x14ac:dyDescent="0.25">
      <c r="N160" s="314" t="s">
        <v>718</v>
      </c>
      <c r="O160" s="315" t="s">
        <v>279</v>
      </c>
      <c r="P160" s="432">
        <f>X143</f>
        <v>50185.368410481227</v>
      </c>
      <c r="Q160" s="9" t="s">
        <v>7</v>
      </c>
      <c r="T160" s="467">
        <v>1</v>
      </c>
      <c r="U160" s="466">
        <v>20</v>
      </c>
      <c r="V160" s="413">
        <v>49739.428291780685</v>
      </c>
      <c r="Y160" s="467">
        <v>1</v>
      </c>
      <c r="Z160" s="413">
        <v>10</v>
      </c>
      <c r="AA160" s="415">
        <v>49739.428291780685</v>
      </c>
    </row>
    <row r="161" spans="12:28" ht="16.5" thickBot="1" x14ac:dyDescent="0.3">
      <c r="T161" s="420">
        <v>1.25</v>
      </c>
      <c r="U161" s="411">
        <f t="shared" ref="U161:U162" si="12">$U$160*T161/$T$160</f>
        <v>25</v>
      </c>
      <c r="V161" s="412">
        <v>64497.465098941386</v>
      </c>
      <c r="Y161" s="420">
        <v>1.25</v>
      </c>
      <c r="Z161" s="412">
        <f t="shared" ref="Z161:Z163" si="13">$Z$160*Y161/$Y$160</f>
        <v>12.5</v>
      </c>
      <c r="AA161" s="408">
        <v>77319.7407917807</v>
      </c>
    </row>
    <row r="162" spans="12:28" ht="16.5" thickBot="1" x14ac:dyDescent="0.3">
      <c r="L162"/>
      <c r="M162" s="12"/>
      <c r="N162" s="3" t="s">
        <v>268</v>
      </c>
      <c r="O162" s="14"/>
      <c r="P162" s="292"/>
      <c r="Q162" s="12"/>
      <c r="T162" s="420">
        <v>1.5</v>
      </c>
      <c r="U162" s="411">
        <f t="shared" si="12"/>
        <v>30</v>
      </c>
      <c r="V162" s="412">
        <v>73341.367072205394</v>
      </c>
      <c r="Y162" s="420">
        <v>1.5</v>
      </c>
      <c r="Z162" s="412">
        <f t="shared" si="13"/>
        <v>15</v>
      </c>
      <c r="AA162" s="408">
        <v>104900.05329178067</v>
      </c>
    </row>
    <row r="163" spans="12:28" ht="16.5" thickBot="1" x14ac:dyDescent="0.3">
      <c r="L163"/>
      <c r="M163" s="12">
        <f>IF(OR(P165&lt;P163,P165&gt;$G$24),1,0)</f>
        <v>1</v>
      </c>
      <c r="N163" s="316" t="s">
        <v>347</v>
      </c>
      <c r="O163" s="315" t="s">
        <v>23</v>
      </c>
      <c r="P163" s="608">
        <f>G52</f>
        <v>10</v>
      </c>
      <c r="Q163" s="9" t="s">
        <v>7</v>
      </c>
      <c r="Y163" s="420">
        <v>1.75</v>
      </c>
      <c r="Z163" s="412">
        <f t="shared" si="13"/>
        <v>17.5</v>
      </c>
      <c r="AA163" s="408">
        <v>132480.36579178073</v>
      </c>
    </row>
    <row r="164" spans="12:28" ht="16.5" thickBot="1" x14ac:dyDescent="0.3">
      <c r="L164"/>
      <c r="M164" s="12"/>
      <c r="N164" s="319" t="s">
        <v>412</v>
      </c>
      <c r="O164" s="312" t="s">
        <v>0</v>
      </c>
      <c r="P164" s="609">
        <f>X144</f>
        <v>128310.31880576711</v>
      </c>
      <c r="Q164" s="9" t="s">
        <v>7</v>
      </c>
      <c r="T164" s="2" t="s">
        <v>393</v>
      </c>
      <c r="U164" s="438"/>
      <c r="V164" s="439"/>
    </row>
    <row r="165" spans="12:28" ht="16.5" thickBot="1" x14ac:dyDescent="0.3">
      <c r="L165"/>
      <c r="M165" s="12"/>
      <c r="N165" s="321" t="s">
        <v>559</v>
      </c>
      <c r="O165" s="15" t="s">
        <v>23</v>
      </c>
      <c r="P165" s="644">
        <f>'Financial Inputs'!G49</f>
        <v>2.5</v>
      </c>
      <c r="Q165" s="9" t="s">
        <v>7</v>
      </c>
      <c r="T165" s="420">
        <v>1</v>
      </c>
      <c r="U165" s="411" t="s">
        <v>392</v>
      </c>
      <c r="V165" s="411" t="s">
        <v>303</v>
      </c>
      <c r="Y165" s="2" t="s">
        <v>395</v>
      </c>
      <c r="Z165" s="438"/>
      <c r="AA165" s="438"/>
      <c r="AB165" s="439"/>
    </row>
    <row r="166" spans="12:28" ht="16.5" thickBot="1" x14ac:dyDescent="0.3">
      <c r="L166"/>
      <c r="M166" s="12"/>
      <c r="N166" s="319" t="s">
        <v>561</v>
      </c>
      <c r="O166" s="312" t="s">
        <v>0</v>
      </c>
      <c r="P166" s="609">
        <f>'Financial Inputs'!G51</f>
        <v>74500.153694476568</v>
      </c>
      <c r="Q166" s="9" t="s">
        <v>7</v>
      </c>
      <c r="T166" s="411" t="s">
        <v>385</v>
      </c>
      <c r="U166" s="464">
        <f>P160</f>
        <v>50185.368410481227</v>
      </c>
      <c r="V166" s="463">
        <f ca="1">'Detailed Cash Flow'!$D$72</f>
        <v>49739.428291780685</v>
      </c>
      <c r="Y166" s="420">
        <v>1</v>
      </c>
      <c r="Z166" s="411" t="s">
        <v>396</v>
      </c>
      <c r="AA166" s="411" t="s">
        <v>303</v>
      </c>
    </row>
    <row r="167" spans="12:28" ht="16.5" thickBot="1" x14ac:dyDescent="0.3">
      <c r="L167"/>
      <c r="M167" s="12"/>
      <c r="N167" s="368" t="s">
        <v>414</v>
      </c>
      <c r="O167" s="312" t="s">
        <v>0</v>
      </c>
      <c r="P167" s="609">
        <f>X141</f>
        <v>550667.15019854461</v>
      </c>
      <c r="Q167"/>
      <c r="T167" s="420">
        <v>0.5</v>
      </c>
      <c r="U167" s="412">
        <f t="dataTable" ref="U167:V171" dt2D="0" dtr="0" r1="T165" ca="1"/>
        <v>25092.684205240614</v>
      </c>
      <c r="V167" s="412">
        <v>65856.136457302026</v>
      </c>
      <c r="Y167" s="411" t="s">
        <v>385</v>
      </c>
      <c r="Z167" s="464">
        <f>P151</f>
        <v>127231.47841531181</v>
      </c>
      <c r="AA167" s="464">
        <f ca="1">'Detailed Cash Flow'!$D$72</f>
        <v>49739.428291780685</v>
      </c>
    </row>
    <row r="168" spans="12:28" ht="15.75" x14ac:dyDescent="0.25">
      <c r="T168" s="420">
        <v>0.75</v>
      </c>
      <c r="U168" s="412">
        <v>37639.02630786092</v>
      </c>
      <c r="V168" s="412">
        <v>57797.719068444392</v>
      </c>
      <c r="Y168" s="420">
        <v>0.5</v>
      </c>
      <c r="Z168" s="412">
        <f t="dataTable" ref="Z168:AA172" dt2D="0" dtr="0" r1="Y166" ca="1"/>
        <v>63615.739207655904</v>
      </c>
      <c r="AA168" s="412">
        <v>11283.713940752688</v>
      </c>
    </row>
    <row r="169" spans="12:28" ht="15.75" x14ac:dyDescent="0.25">
      <c r="T169" s="467">
        <v>1</v>
      </c>
      <c r="U169" s="413">
        <v>50185.368410481227</v>
      </c>
      <c r="V169" s="413">
        <v>49739.428291780685</v>
      </c>
      <c r="Y169" s="420">
        <v>0.75</v>
      </c>
      <c r="Z169" s="412">
        <v>95423.608811483864</v>
      </c>
      <c r="AA169" s="412">
        <v>30511.571116266685</v>
      </c>
    </row>
    <row r="170" spans="12:28" ht="15.75" x14ac:dyDescent="0.25">
      <c r="T170" s="420">
        <v>1.25</v>
      </c>
      <c r="U170" s="412">
        <v>62731.710513101534</v>
      </c>
      <c r="V170" s="412">
        <v>41681.263509947465</v>
      </c>
      <c r="Y170" s="467">
        <v>1</v>
      </c>
      <c r="Z170" s="412">
        <v>127231.47841531181</v>
      </c>
      <c r="AA170" s="412">
        <v>49739.428291780685</v>
      </c>
    </row>
    <row r="171" spans="12:28" ht="15.75" x14ac:dyDescent="0.25">
      <c r="T171" s="420">
        <v>1.5</v>
      </c>
      <c r="U171" s="412">
        <v>75278.052615721841</v>
      </c>
      <c r="V171" s="412">
        <v>33623.22410947032</v>
      </c>
      <c r="Y171" s="420">
        <v>1.25</v>
      </c>
      <c r="Z171" s="412">
        <v>159039.34801913975</v>
      </c>
      <c r="AA171" s="412">
        <v>68967.285467294685</v>
      </c>
    </row>
    <row r="172" spans="12:28" ht="16.5" thickBot="1" x14ac:dyDescent="0.3">
      <c r="Y172" s="420">
        <v>1.5</v>
      </c>
      <c r="Z172" s="412">
        <v>190847.21762296773</v>
      </c>
      <c r="AA172" s="412">
        <v>88195.142642808773</v>
      </c>
    </row>
    <row r="173" spans="12:28" ht="16.5" thickBot="1" x14ac:dyDescent="0.3">
      <c r="T173" s="2" t="s">
        <v>722</v>
      </c>
      <c r="U173" s="438"/>
      <c r="V173" s="439"/>
    </row>
    <row r="174" spans="12:28" ht="15.75" x14ac:dyDescent="0.25">
      <c r="U174" s="411"/>
      <c r="V174" s="411" t="s">
        <v>303</v>
      </c>
    </row>
    <row r="175" spans="12:28" ht="15.75" x14ac:dyDescent="0.25">
      <c r="U175" t="s">
        <v>723</v>
      </c>
      <c r="V175" s="444">
        <f ca="1">'Detailed Cash Flow'!D72</f>
        <v>49739.428291780685</v>
      </c>
    </row>
    <row r="176" spans="12:28" ht="15.75" x14ac:dyDescent="0.25">
      <c r="T176" s="420">
        <v>0.5</v>
      </c>
      <c r="U176" s="410">
        <f>$U$178*T176/$T$178</f>
        <v>0.1</v>
      </c>
      <c r="V176" s="409">
        <f t="dataTable" ref="V176:V180" dt2D="0" dtr="0" r1="P27" ca="1"/>
        <v>40086.147350031839</v>
      </c>
    </row>
    <row r="177" spans="20:27" ht="15.75" x14ac:dyDescent="0.25">
      <c r="T177" s="420">
        <v>0.75</v>
      </c>
      <c r="U177" s="410">
        <f>$U$178*T177/$T$178</f>
        <v>0.15000000000000002</v>
      </c>
      <c r="V177" s="409">
        <v>49739.428291780685</v>
      </c>
    </row>
    <row r="178" spans="20:27" ht="15.75" x14ac:dyDescent="0.25">
      <c r="T178" s="467">
        <v>1</v>
      </c>
      <c r="U178" s="414">
        <v>0.2</v>
      </c>
      <c r="V178" s="413">
        <v>59396.7359819884</v>
      </c>
    </row>
    <row r="179" spans="20:27" ht="15.75" x14ac:dyDescent="0.25">
      <c r="T179" s="420">
        <v>1.25</v>
      </c>
      <c r="U179" s="410">
        <f t="shared" ref="U179:U180" si="14">$U$178*T179/$T$178</f>
        <v>0.25</v>
      </c>
      <c r="V179" s="412">
        <v>69058.054602133634</v>
      </c>
    </row>
    <row r="180" spans="20:27" ht="15.75" x14ac:dyDescent="0.25">
      <c r="T180" s="420">
        <v>1.5</v>
      </c>
      <c r="U180" s="410">
        <f t="shared" si="14"/>
        <v>0.30000000000000004</v>
      </c>
      <c r="V180" s="412">
        <v>78723.378394269777</v>
      </c>
    </row>
    <row r="181" spans="20:27" ht="15.75" thickBot="1" x14ac:dyDescent="0.25"/>
    <row r="182" spans="20:27" ht="16.5" thickBot="1" x14ac:dyDescent="0.3">
      <c r="T182" s="2" t="s">
        <v>420</v>
      </c>
      <c r="U182" s="438"/>
      <c r="V182" s="439"/>
    </row>
    <row r="183" spans="20:27" ht="15.75" x14ac:dyDescent="0.25">
      <c r="U183" s="411"/>
      <c r="V183" s="411" t="s">
        <v>303</v>
      </c>
    </row>
    <row r="184" spans="20:27" ht="15.75" x14ac:dyDescent="0.25">
      <c r="U184" s="411" t="s">
        <v>394</v>
      </c>
      <c r="V184" s="465">
        <f ca="1">'Detailed Cash Flow'!$D$72</f>
        <v>49739.428291780685</v>
      </c>
    </row>
    <row r="185" spans="20:27" ht="15.75" x14ac:dyDescent="0.25">
      <c r="T185" s="420">
        <v>0.5</v>
      </c>
      <c r="U185" s="422">
        <f>$U$187*T185/$T$187</f>
        <v>0.01</v>
      </c>
      <c r="V185" s="412">
        <f t="dataTable" ref="V185:V189" dt2D="0" dtr="0" r1="G55" ca="1"/>
        <v>35530.151533080512</v>
      </c>
    </row>
    <row r="186" spans="20:27" ht="15.75" x14ac:dyDescent="0.25">
      <c r="T186" s="420">
        <v>0.75</v>
      </c>
      <c r="U186" s="422">
        <f>$U$187*T186/$T$187</f>
        <v>1.4999999999999999E-2</v>
      </c>
      <c r="V186" s="412">
        <v>42710.343238934991</v>
      </c>
    </row>
    <row r="187" spans="20:27" ht="15.75" x14ac:dyDescent="0.25">
      <c r="T187" s="467">
        <v>1</v>
      </c>
      <c r="U187" s="472">
        <v>0.02</v>
      </c>
      <c r="V187" s="413">
        <v>49739.428291780685</v>
      </c>
    </row>
    <row r="188" spans="20:27" ht="15.75" x14ac:dyDescent="0.25">
      <c r="T188" s="420">
        <v>1.25</v>
      </c>
      <c r="U188" s="422">
        <f t="shared" ref="U188:U189" si="15">$U$187*T188/$T$187</f>
        <v>2.5000000000000001E-2</v>
      </c>
      <c r="V188" s="412">
        <v>56615.002725499071</v>
      </c>
    </row>
    <row r="189" spans="20:27" ht="15.75" x14ac:dyDescent="0.25">
      <c r="T189" s="420">
        <v>1.5</v>
      </c>
      <c r="U189" s="422">
        <f t="shared" si="15"/>
        <v>0.03</v>
      </c>
      <c r="V189" s="412">
        <v>63334.886045877684</v>
      </c>
    </row>
    <row r="190" spans="20:27" ht="15.75" x14ac:dyDescent="0.25">
      <c r="U190" s="412"/>
    </row>
    <row r="191" spans="20:27" ht="15.75" x14ac:dyDescent="0.25">
      <c r="T191" s="430" t="s">
        <v>425</v>
      </c>
      <c r="U191" s="411"/>
      <c r="V191" s="411"/>
      <c r="W191" s="411"/>
      <c r="Z191"/>
      <c r="AA191"/>
    </row>
    <row r="192" spans="20:27" ht="15.75" x14ac:dyDescent="0.25">
      <c r="T192" s="479" t="s">
        <v>426</v>
      </c>
      <c r="U192" s="477" t="s">
        <v>1</v>
      </c>
      <c r="V192" s="476">
        <f>(1+P157)/(1+G55)-1</f>
        <v>5.8823529411764719E-2</v>
      </c>
      <c r="W192" s="411"/>
      <c r="Z192"/>
      <c r="AA192"/>
    </row>
    <row r="193" spans="20:27" ht="15.75" x14ac:dyDescent="0.25">
      <c r="T193" s="479" t="s">
        <v>427</v>
      </c>
      <c r="U193" s="477" t="s">
        <v>1</v>
      </c>
      <c r="V193" s="476">
        <f>(1+V192)*(1+G55)-1</f>
        <v>8.0000000000000071E-2</v>
      </c>
      <c r="W193" s="411"/>
      <c r="Z193"/>
      <c r="AA193"/>
    </row>
    <row r="194" spans="20:27" ht="15.75" x14ac:dyDescent="0.25">
      <c r="T194" s="479" t="s">
        <v>419</v>
      </c>
      <c r="U194" s="477" t="s">
        <v>1</v>
      </c>
      <c r="V194" s="421">
        <f>G80-P157</f>
        <v>2.0000000000000004E-2</v>
      </c>
      <c r="W194" s="411"/>
      <c r="Z194"/>
      <c r="AA194"/>
    </row>
    <row r="195" spans="20:27" ht="15.75" x14ac:dyDescent="0.25">
      <c r="T195" s="479" t="s">
        <v>180</v>
      </c>
      <c r="U195" s="477" t="s">
        <v>1</v>
      </c>
      <c r="V195" s="478">
        <f>V193+V194</f>
        <v>0.10000000000000007</v>
      </c>
      <c r="W195" s="411"/>
    </row>
    <row r="196" spans="20:27" ht="15.75" x14ac:dyDescent="0.25">
      <c r="T196" s="479"/>
      <c r="U196" s="477"/>
      <c r="V196" s="478"/>
      <c r="W196" s="411"/>
    </row>
    <row r="197" spans="20:27" ht="15.75" thickBot="1" x14ac:dyDescent="0.25"/>
    <row r="198" spans="20:27" ht="16.5" thickBot="1" x14ac:dyDescent="0.3">
      <c r="T198" s="2" t="s">
        <v>421</v>
      </c>
      <c r="U198" s="438"/>
      <c r="V198" s="438"/>
      <c r="W198" s="439"/>
    </row>
    <row r="199" spans="20:27" ht="30" x14ac:dyDescent="0.25">
      <c r="T199" s="400" t="s">
        <v>424</v>
      </c>
      <c r="U199" s="475" t="s">
        <v>422</v>
      </c>
      <c r="V199" s="475" t="s">
        <v>423</v>
      </c>
      <c r="W199" s="431" t="s">
        <v>303</v>
      </c>
    </row>
    <row r="200" spans="20:27" ht="15.75" x14ac:dyDescent="0.25">
      <c r="T200" s="411" t="s">
        <v>394</v>
      </c>
      <c r="U200" s="474">
        <f>V193</f>
        <v>8.0000000000000071E-2</v>
      </c>
      <c r="V200" s="474">
        <f>V195</f>
        <v>0.10000000000000007</v>
      </c>
      <c r="W200" s="465">
        <f ca="1">'Detailed Cash Flow'!$D$72</f>
        <v>49739.428291780685</v>
      </c>
    </row>
    <row r="201" spans="20:27" ht="15.75" x14ac:dyDescent="0.25">
      <c r="T201" s="422">
        <v>-0.02</v>
      </c>
      <c r="U201" s="440">
        <f t="dataTable" ref="U201:W205" dt2D="0" dtr="0" r1="V192" ca="1"/>
        <v>-3.9999999999995595E-4</v>
      </c>
      <c r="V201" s="440">
        <v>1.9600000000000048E-2</v>
      </c>
      <c r="W201" s="412">
        <v>61231.821773271455</v>
      </c>
    </row>
    <row r="202" spans="20:27" ht="15.75" x14ac:dyDescent="0.25">
      <c r="T202" s="422">
        <v>0</v>
      </c>
      <c r="U202" s="440">
        <v>2.0000000000000018E-2</v>
      </c>
      <c r="V202" s="440">
        <v>4.0000000000000022E-2</v>
      </c>
      <c r="W202" s="412">
        <v>58533.451976834978</v>
      </c>
    </row>
    <row r="203" spans="20:27" ht="15.75" x14ac:dyDescent="0.25">
      <c r="T203" s="422">
        <v>0.02</v>
      </c>
      <c r="U203" s="440">
        <v>4.0399999999999991E-2</v>
      </c>
      <c r="V203" s="440">
        <v>6.0399999999999995E-2</v>
      </c>
      <c r="W203" s="413">
        <v>55670.802276730712</v>
      </c>
    </row>
    <row r="204" spans="20:27" ht="15.75" x14ac:dyDescent="0.25">
      <c r="T204" s="422">
        <v>3.9999999999999994E-2</v>
      </c>
      <c r="U204" s="440">
        <v>6.0799999999999965E-2</v>
      </c>
      <c r="V204" s="440">
        <v>8.0799999999999969E-2</v>
      </c>
      <c r="W204" s="412">
        <v>52668.285147353425</v>
      </c>
    </row>
    <row r="205" spans="20:27" ht="15.75" x14ac:dyDescent="0.25">
      <c r="T205" s="422">
        <v>0.06</v>
      </c>
      <c r="U205" s="440">
        <v>8.1200000000000161E-2</v>
      </c>
      <c r="V205" s="440">
        <v>0.10120000000000016</v>
      </c>
      <c r="W205" s="412">
        <v>49553.651581574464</v>
      </c>
    </row>
    <row r="209" spans="18:21" ht="15.75" x14ac:dyDescent="0.25">
      <c r="R209" s="411" t="s">
        <v>428</v>
      </c>
      <c r="S209" s="411"/>
      <c r="T209" s="411"/>
      <c r="U209" s="411"/>
    </row>
    <row r="210" spans="18:21" ht="15.75" x14ac:dyDescent="0.25">
      <c r="R210" s="411"/>
      <c r="S210" s="479" t="s">
        <v>401</v>
      </c>
      <c r="T210" s="411" t="s">
        <v>400</v>
      </c>
      <c r="U210" s="411"/>
    </row>
    <row r="211" spans="18:21" ht="15.75" x14ac:dyDescent="0.25">
      <c r="R211" s="411"/>
      <c r="S211" s="420">
        <f>U178</f>
        <v>0.2</v>
      </c>
      <c r="T211" s="411" t="s">
        <v>723</v>
      </c>
      <c r="U211" s="412">
        <f>V179-V178</f>
        <v>9661.3186201452336</v>
      </c>
    </row>
    <row r="212" spans="18:21" ht="15.75" x14ac:dyDescent="0.25">
      <c r="R212" s="411"/>
      <c r="S212" s="411">
        <f>U160</f>
        <v>20</v>
      </c>
      <c r="T212" s="411" t="s">
        <v>407</v>
      </c>
      <c r="U212" s="412">
        <f>V161-V160</f>
        <v>14758.036807160701</v>
      </c>
    </row>
    <row r="213" spans="18:21" ht="15.75" x14ac:dyDescent="0.25">
      <c r="R213" s="411"/>
      <c r="S213" s="412">
        <f>U169</f>
        <v>50185.368410481227</v>
      </c>
      <c r="T213" s="411" t="s">
        <v>402</v>
      </c>
      <c r="U213" s="412">
        <f>V170-V169</f>
        <v>-8058.1647818332203</v>
      </c>
    </row>
    <row r="214" spans="18:21" ht="15.75" x14ac:dyDescent="0.25">
      <c r="R214" s="411"/>
      <c r="S214" s="480">
        <f>U187</f>
        <v>0.02</v>
      </c>
      <c r="T214" s="411" t="s">
        <v>403</v>
      </c>
      <c r="U214" s="412">
        <f>V188-V187</f>
        <v>6875.574433718386</v>
      </c>
    </row>
    <row r="215" spans="18:21" ht="15.75" x14ac:dyDescent="0.25">
      <c r="R215" s="411"/>
      <c r="S215" s="411">
        <f>Z151</f>
        <v>0.06</v>
      </c>
      <c r="T215" s="411" t="s">
        <v>404</v>
      </c>
      <c r="U215" s="412">
        <f>AA152-AA151</f>
        <v>26089.04564665808</v>
      </c>
    </row>
    <row r="216" spans="18:21" ht="15.75" x14ac:dyDescent="0.25">
      <c r="R216" s="411"/>
      <c r="S216" s="412">
        <f>Z160</f>
        <v>10</v>
      </c>
      <c r="T216" s="411" t="s">
        <v>405</v>
      </c>
      <c r="U216" s="412">
        <f>AA161-AA160</f>
        <v>27580.312500000015</v>
      </c>
    </row>
    <row r="217" spans="18:21" ht="15.75" x14ac:dyDescent="0.25">
      <c r="R217" s="411"/>
      <c r="S217" s="412">
        <f>Z170</f>
        <v>127231.47841531181</v>
      </c>
      <c r="T217" s="411" t="s">
        <v>406</v>
      </c>
      <c r="U217" s="412">
        <f>AA171-AA170</f>
        <v>19227.857175514</v>
      </c>
    </row>
    <row r="218" spans="18:21" ht="15.75" x14ac:dyDescent="0.25">
      <c r="R218" s="411"/>
    </row>
    <row r="219" spans="18:21" ht="15.75" x14ac:dyDescent="0.25">
      <c r="R219" s="411"/>
      <c r="S219" s="411"/>
      <c r="T219" s="411"/>
      <c r="U219" s="411"/>
    </row>
    <row r="220" spans="18:21" ht="15.75" x14ac:dyDescent="0.25">
      <c r="R220" s="411"/>
      <c r="S220" s="411"/>
      <c r="T220" s="411"/>
      <c r="U220" s="411"/>
    </row>
    <row r="221" spans="18:21" ht="15.75" x14ac:dyDescent="0.25">
      <c r="R221" s="411">
        <v>1</v>
      </c>
      <c r="S221" s="411"/>
      <c r="T221" s="411" t="str">
        <f t="shared" ref="T221:T227" si="16">INDEX($T$211:$T$217,MATCH(U221,$U$211:$U$217,0))</f>
        <v>O&amp;M, $/yr</v>
      </c>
      <c r="U221" s="412">
        <f t="shared" ref="U221:U227" si="17">SMALL($U$211:$U$217,R221)</f>
        <v>-8058.1647818332203</v>
      </c>
    </row>
    <row r="222" spans="18:21" ht="15.75" x14ac:dyDescent="0.25">
      <c r="R222" s="411">
        <v>2</v>
      </c>
      <c r="S222" s="411"/>
      <c r="T222" s="411" t="str">
        <f t="shared" si="16"/>
        <v>Inflation rate, %</v>
      </c>
      <c r="U222" s="412">
        <f t="shared" si="17"/>
        <v>6875.574433718386</v>
      </c>
    </row>
    <row r="223" spans="18:21" ht="15.75" x14ac:dyDescent="0.25">
      <c r="R223" s="411">
        <v>3</v>
      </c>
      <c r="S223" s="411"/>
      <c r="T223" s="411" t="str">
        <f t="shared" si="16"/>
        <v>Grant, %</v>
      </c>
      <c r="U223" s="412">
        <f t="shared" si="17"/>
        <v>9661.3186201452336</v>
      </c>
    </row>
    <row r="224" spans="18:21" ht="15.75" x14ac:dyDescent="0.25">
      <c r="R224" s="411">
        <v>4</v>
      </c>
      <c r="S224" s="411"/>
      <c r="T224" s="411" t="str">
        <f t="shared" si="16"/>
        <v>Useful life, yrs</v>
      </c>
      <c r="U224" s="412">
        <f t="shared" si="17"/>
        <v>14758.036807160701</v>
      </c>
    </row>
    <row r="225" spans="5:21" ht="15.75" x14ac:dyDescent="0.25">
      <c r="R225" s="411">
        <v>5</v>
      </c>
      <c r="S225" s="411"/>
      <c r="T225" s="411" t="str">
        <f t="shared" si="16"/>
        <v>Fertilizer, $/yr</v>
      </c>
      <c r="U225" s="412">
        <f t="shared" si="17"/>
        <v>19227.857175514</v>
      </c>
    </row>
    <row r="226" spans="5:21" ht="15.75" x14ac:dyDescent="0.25">
      <c r="R226" s="411">
        <v>6</v>
      </c>
      <c r="S226" s="411"/>
      <c r="T226" s="411" t="str">
        <f t="shared" si="16"/>
        <v>Electric rate, $/kWh</v>
      </c>
      <c r="U226" s="412">
        <f t="shared" si="17"/>
        <v>26089.04564665808</v>
      </c>
    </row>
    <row r="227" spans="5:21" ht="15.75" x14ac:dyDescent="0.25">
      <c r="R227" s="411">
        <v>7</v>
      </c>
      <c r="S227" s="411"/>
      <c r="T227" s="411" t="str">
        <f t="shared" si="16"/>
        <v>Tipping fee, $/ton</v>
      </c>
      <c r="U227" s="412">
        <f t="shared" si="17"/>
        <v>27580.312500000015</v>
      </c>
    </row>
    <row r="228" spans="5:21" ht="15.75" x14ac:dyDescent="0.25">
      <c r="R228" s="411"/>
      <c r="S228" s="411"/>
      <c r="T228" s="411"/>
      <c r="U228" s="412"/>
    </row>
    <row r="229" spans="5:21" ht="15.75" x14ac:dyDescent="0.25">
      <c r="R229" s="411"/>
      <c r="S229" s="411"/>
      <c r="T229" s="411"/>
      <c r="U229" s="411"/>
    </row>
    <row r="233" spans="5:21" ht="15.75" x14ac:dyDescent="0.25">
      <c r="E233" s="452"/>
    </row>
    <row r="253" spans="5:7" ht="15.75" x14ac:dyDescent="0.25">
      <c r="E253" s="789"/>
      <c r="F253" s="789"/>
      <c r="G253" s="789"/>
    </row>
  </sheetData>
  <sheetProtection sheet="1" objects="1" scenarios="1"/>
  <protectedRanges>
    <protectedRange sqref="P44 P151:P153" name="Column Q Inputs"/>
    <protectedRange sqref="P68:P69 Q99:Q100 O95:P100 Q95:R98 S95:Y100 AA95:AB100" name="Depreciation Inputs"/>
    <protectedRange sqref="P37:P40 P42:P46 P163:P166 P49 P32:P33 P35" name="Column Q Inputs 2"/>
    <protectedRange sqref="G16 G18 G14 G24 G61:G62 P57 V195:V196 P62:P66 V192:V193 G20 G57:G59 G69:G71 P155:P160" name="Column G Inputs"/>
    <protectedRange sqref="P28:P29 P14:P16 P25 P19:P23" name="Column Q Inputs 1"/>
    <protectedRange sqref="P148:P150" name="Column Q Inputs_1"/>
    <protectedRange sqref="G43 G34:G37 W33:W34 W40 W30:W31" name="Column G Inputs_1"/>
    <protectedRange sqref="P11" name="Column Q Inputs_1_1"/>
    <protectedRange sqref="G29 W29" name="Column G Inputs_2"/>
    <protectedRange sqref="G30:G31" name="Column G Inputs_2_1"/>
  </protectedRanges>
  <mergeCells count="8">
    <mergeCell ref="Q99:S99"/>
    <mergeCell ref="Q100:S100"/>
    <mergeCell ref="C2:S2"/>
    <mergeCell ref="Q98:S98"/>
    <mergeCell ref="Q94:S94"/>
    <mergeCell ref="Q95:S95"/>
    <mergeCell ref="Q96:S96"/>
    <mergeCell ref="Q97:S97"/>
  </mergeCells>
  <conditionalFormatting sqref="C11">
    <cfRule type="expression" dxfId="108" priority="6665">
      <formula>$G$12&gt;=$G$11</formula>
    </cfRule>
  </conditionalFormatting>
  <conditionalFormatting sqref="C14 C16 C18">
    <cfRule type="expression" dxfId="107" priority="112">
      <formula>$G14&gt;0</formula>
    </cfRule>
  </conditionalFormatting>
  <conditionalFormatting sqref="C24">
    <cfRule type="expression" dxfId="106" priority="174">
      <formula>$D$24=1</formula>
    </cfRule>
  </conditionalFormatting>
  <conditionalFormatting sqref="C34">
    <cfRule type="expression" dxfId="105" priority="42">
      <formula>AND(#REF!="Simple",#REF!&gt;0)</formula>
    </cfRule>
    <cfRule type="expression" dxfId="104" priority="43">
      <formula>AND(#REF!="Simple",#REF!&lt;=0)</formula>
    </cfRule>
  </conditionalFormatting>
  <conditionalFormatting sqref="C35">
    <cfRule type="expression" dxfId="103" priority="44">
      <formula>AND(#REF!="Intermediate",#REF!&gt;0)</formula>
    </cfRule>
    <cfRule type="expression" dxfId="102" priority="45">
      <formula>AND(#REF!="Intermediate",#REF!&lt;=0)</formula>
    </cfRule>
  </conditionalFormatting>
  <conditionalFormatting sqref="C48">
    <cfRule type="expression" dxfId="101" priority="5765">
      <formula>$G$48&gt;0</formula>
    </cfRule>
  </conditionalFormatting>
  <conditionalFormatting sqref="C55">
    <cfRule type="expression" dxfId="100" priority="504">
      <formula>$G$55&gt;0</formula>
    </cfRule>
  </conditionalFormatting>
  <conditionalFormatting sqref="C57:C58">
    <cfRule type="expression" dxfId="99" priority="187">
      <formula>$G57&lt;0</formula>
    </cfRule>
    <cfRule type="expression" dxfId="98" priority="190">
      <formula>#REF!="Simple"</formula>
    </cfRule>
  </conditionalFormatting>
  <conditionalFormatting sqref="C61">
    <cfRule type="expression" dxfId="97" priority="6342">
      <formula>$G$61&lt;=0</formula>
    </cfRule>
  </conditionalFormatting>
  <conditionalFormatting sqref="C61:C62">
    <cfRule type="expression" dxfId="96" priority="6679">
      <formula>$G$29="Simple"</formula>
    </cfRule>
  </conditionalFormatting>
  <conditionalFormatting sqref="C62">
    <cfRule type="expression" dxfId="95" priority="6680">
      <formula>AND($G$29="Intermediate",$G$62&gt;=0)</formula>
    </cfRule>
  </conditionalFormatting>
  <conditionalFormatting sqref="C66">
    <cfRule type="expression" dxfId="94" priority="501">
      <formula>$D$66=1</formula>
    </cfRule>
  </conditionalFormatting>
  <conditionalFormatting sqref="C67">
    <cfRule type="expression" dxfId="93" priority="6898">
      <formula>$D$67=1</formula>
    </cfRule>
  </conditionalFormatting>
  <conditionalFormatting sqref="C69:C70">
    <cfRule type="expression" dxfId="92" priority="276">
      <formula>$D$69=1</formula>
    </cfRule>
  </conditionalFormatting>
  <conditionalFormatting sqref="C71">
    <cfRule type="expression" dxfId="91" priority="264">
      <formula>$G$71&lt;0</formula>
    </cfRule>
  </conditionalFormatting>
  <conditionalFormatting sqref="C81">
    <cfRule type="expression" dxfId="90" priority="6896">
      <formula>$G$81&lt;$P$156</formula>
    </cfRule>
  </conditionalFormatting>
  <conditionalFormatting sqref="E40">
    <cfRule type="expression" dxfId="89" priority="6681">
      <formula>$G$29="Complex"</formula>
    </cfRule>
  </conditionalFormatting>
  <conditionalFormatting sqref="E32:G32">
    <cfRule type="expression" dxfId="87" priority="3">
      <formula>$G$29="Complex"</formula>
    </cfRule>
  </conditionalFormatting>
  <conditionalFormatting sqref="E34:G36">
    <cfRule type="expression" dxfId="86" priority="6">
      <formula>$G$29="Simple"</formula>
    </cfRule>
  </conditionalFormatting>
  <conditionalFormatting sqref="E57:G59">
    <cfRule type="expression" dxfId="84" priority="519">
      <formula>#REF!="Simple"</formula>
    </cfRule>
  </conditionalFormatting>
  <conditionalFormatting sqref="E30:H31">
    <cfRule type="expression" dxfId="82" priority="9">
      <formula>$G$29="Complex"</formula>
    </cfRule>
  </conditionalFormatting>
  <conditionalFormatting sqref="E33:H37">
    <cfRule type="expression" dxfId="81" priority="7">
      <formula>$G$29="Complex"</formula>
    </cfRule>
  </conditionalFormatting>
  <conditionalFormatting sqref="F13">
    <cfRule type="expression" dxfId="80" priority="58">
      <formula>#REF!="Solar Thermal Electric"</formula>
    </cfRule>
  </conditionalFormatting>
  <conditionalFormatting sqref="F40">
    <cfRule type="expression" dxfId="79" priority="6683">
      <formula>$G$29="Complex"</formula>
    </cfRule>
  </conditionalFormatting>
  <conditionalFormatting sqref="F43 F51">
    <cfRule type="expression" dxfId="78" priority="40">
      <formula>$G$29="Intermediate"</formula>
    </cfRule>
  </conditionalFormatting>
  <conditionalFormatting sqref="G10">
    <cfRule type="expression" dxfId="77" priority="59">
      <formula>#REF!="Solar Thermal Electric"</formula>
    </cfRule>
  </conditionalFormatting>
  <conditionalFormatting sqref="G11">
    <cfRule type="expression" dxfId="76" priority="64">
      <formula>#REF!="Solar Thermal Electric"</formula>
    </cfRule>
  </conditionalFormatting>
  <conditionalFormatting sqref="G30:G33">
    <cfRule type="expression" dxfId="75" priority="15">
      <formula>$G$29&lt;&gt;"Simple"</formula>
    </cfRule>
  </conditionalFormatting>
  <conditionalFormatting sqref="G40">
    <cfRule type="expression" dxfId="74" priority="6689">
      <formula>$G$29="Complex"</formula>
    </cfRule>
  </conditionalFormatting>
  <conditionalFormatting sqref="G94:AB101">
    <cfRule type="expression" dxfId="73" priority="12">
      <formula>$G$29="Complex"</formula>
    </cfRule>
  </conditionalFormatting>
  <conditionalFormatting sqref="H11">
    <cfRule type="expression" dxfId="72" priority="33">
      <formula>#REF!="Solar Thermal Electric"</formula>
    </cfRule>
  </conditionalFormatting>
  <conditionalFormatting sqref="H38 H40 H43">
    <cfRule type="expression" dxfId="71" priority="38">
      <formula>$G$29="Intermediate"</formula>
    </cfRule>
  </conditionalFormatting>
  <conditionalFormatting sqref="H57:H59">
    <cfRule type="expression" dxfId="70" priority="329">
      <formula>#REF!="Intermediate"</formula>
    </cfRule>
  </conditionalFormatting>
  <conditionalFormatting sqref="L13">
    <cfRule type="expression" dxfId="69" priority="6883">
      <formula>$M14=1</formula>
    </cfRule>
    <cfRule type="expression" dxfId="68" priority="6884">
      <formula>$P$14="Performance-Based"</formula>
    </cfRule>
  </conditionalFormatting>
  <conditionalFormatting sqref="L54 L56:L57 L59 C69:C70 C67">
    <cfRule type="expression" dxfId="67" priority="6835">
      <formula>$P$159=0</formula>
    </cfRule>
  </conditionalFormatting>
  <conditionalFormatting sqref="L54">
    <cfRule type="expression" dxfId="66" priority="6831">
      <formula>$P$155&lt;1</formula>
    </cfRule>
  </conditionalFormatting>
  <conditionalFormatting sqref="L56">
    <cfRule type="expression" dxfId="65" priority="304">
      <formula>$P$56="Fail"</formula>
    </cfRule>
  </conditionalFormatting>
  <conditionalFormatting sqref="L57">
    <cfRule type="expression" dxfId="64" priority="277">
      <formula>$P$57&lt;1</formula>
    </cfRule>
  </conditionalFormatting>
  <conditionalFormatting sqref="L59">
    <cfRule type="expression" dxfId="63" priority="303">
      <formula>$P$59="Fail"</formula>
    </cfRule>
  </conditionalFormatting>
  <conditionalFormatting sqref="L62">
    <cfRule type="expression" dxfId="62" priority="263">
      <formula>$P$62=""</formula>
    </cfRule>
  </conditionalFormatting>
  <conditionalFormatting sqref="L63">
    <cfRule type="expression" dxfId="61" priority="262">
      <formula>$M$63=1</formula>
    </cfRule>
    <cfRule type="expression" dxfId="60" priority="261">
      <formula>$P$62="No"</formula>
    </cfRule>
  </conditionalFormatting>
  <conditionalFormatting sqref="L64">
    <cfRule type="expression" dxfId="59" priority="253">
      <formula>$P$64=""</formula>
    </cfRule>
  </conditionalFormatting>
  <conditionalFormatting sqref="L65">
    <cfRule type="expression" dxfId="58" priority="255">
      <formula>$M$65=1</formula>
    </cfRule>
    <cfRule type="expression" dxfId="57" priority="254">
      <formula>$P$62="No"</formula>
    </cfRule>
  </conditionalFormatting>
  <conditionalFormatting sqref="L66">
    <cfRule type="expression" dxfId="56" priority="252">
      <formula>$P$66=""</formula>
    </cfRule>
  </conditionalFormatting>
  <conditionalFormatting sqref="N56">
    <cfRule type="expression" dxfId="55" priority="157">
      <formula>$P$56="Fail"</formula>
    </cfRule>
  </conditionalFormatting>
  <conditionalFormatting sqref="N59">
    <cfRule type="expression" dxfId="54" priority="156">
      <formula>$P$59="Fail"</formula>
    </cfRule>
  </conditionalFormatting>
  <conditionalFormatting sqref="N69 P69">
    <cfRule type="expression" dxfId="53" priority="6843">
      <formula>$P$68="No"</formula>
    </cfRule>
  </conditionalFormatting>
  <conditionalFormatting sqref="N19:O19 N20:Q22">
    <cfRule type="expression" dxfId="52" priority="343">
      <formula>$R$80=1</formula>
    </cfRule>
  </conditionalFormatting>
  <conditionalFormatting sqref="N38:P38">
    <cfRule type="expression" dxfId="51" priority="131">
      <formula>$P$38="No"</formula>
    </cfRule>
  </conditionalFormatting>
  <conditionalFormatting sqref="N75:P75">
    <cfRule type="expression" dxfId="50" priority="6840">
      <formula>$P$159=0%</formula>
    </cfRule>
  </conditionalFormatting>
  <conditionalFormatting sqref="N33:Q33 N35:Q40">
    <cfRule type="expression" dxfId="49" priority="6855">
      <formula>#REF!=1</formula>
    </cfRule>
  </conditionalFormatting>
  <conditionalFormatting sqref="N42:Q43">
    <cfRule type="expression" dxfId="48" priority="6857">
      <formula>#REF!=1</formula>
    </cfRule>
  </conditionalFormatting>
  <conditionalFormatting sqref="N56:Q59 N55 P55:Q55 E69:H70 N155:P155 N157:Q158 U192:V192 T193:V193">
    <cfRule type="expression" dxfId="47" priority="6841">
      <formula>$P$159=0</formula>
    </cfRule>
  </conditionalFormatting>
  <conditionalFormatting sqref="N63:Q67 N68:N69 P68:Q69 N70:Q70">
    <cfRule type="expression" dxfId="46" priority="2893">
      <formula>$P$62="No"</formula>
    </cfRule>
  </conditionalFormatting>
  <conditionalFormatting sqref="N102:Q102 T102:AD102">
    <cfRule type="expression" dxfId="45" priority="195">
      <formula>$K$96=0</formula>
    </cfRule>
  </conditionalFormatting>
  <conditionalFormatting sqref="P56">
    <cfRule type="expression" dxfId="44" priority="486">
      <formula>$P$56="Fail"</formula>
    </cfRule>
  </conditionalFormatting>
  <conditionalFormatting sqref="P59">
    <cfRule type="expression" dxfId="43" priority="427">
      <formula>$P$59="Fail"</formula>
    </cfRule>
  </conditionalFormatting>
  <conditionalFormatting sqref="Q15:Q16 N15:P18">
    <cfRule type="expression" dxfId="42" priority="70">
      <formula>$R$80=2</formula>
    </cfRule>
  </conditionalFormatting>
  <conditionalFormatting sqref="Q56 Q59">
    <cfRule type="expression" dxfId="41" priority="6853">
      <formula>$P56="Fail"</formula>
    </cfRule>
  </conditionalFormatting>
  <conditionalFormatting sqref="Q69">
    <cfRule type="expression" dxfId="40" priority="6849">
      <formula>$P$69="No"</formula>
    </cfRule>
  </conditionalFormatting>
  <conditionalFormatting sqref="AF102">
    <cfRule type="expression" dxfId="39" priority="200">
      <formula>$K97=0</formula>
    </cfRule>
  </conditionalFormatting>
  <dataValidations disablePrompts="1" count="9">
    <dataValidation type="list" allowBlank="1" showInputMessage="1" showErrorMessage="1" sqref="P39 P29 P46 P62 P68" xr:uid="{00000000-0002-0000-0100-000001000000}">
      <formula1>"Yes, No"</formula1>
    </dataValidation>
    <dataValidation type="list" allowBlank="1" showInputMessage="1" showErrorMessage="1" sqref="P37" xr:uid="{00000000-0002-0000-0100-000002000000}">
      <formula1>"Cash, Tax Credit"</formula1>
    </dataValidation>
    <dataValidation type="list" allowBlank="1" showInputMessage="1" showErrorMessage="1" sqref="P32 P14" xr:uid="{00000000-0002-0000-0100-000003000000}">
      <formula1>"Cost-Based, Performance-Based, Neither"</formula1>
    </dataValidation>
    <dataValidation type="list" allowBlank="1" showInputMessage="1" showErrorMessage="1" sqref="P15" xr:uid="{00000000-0002-0000-0100-000005000000}">
      <formula1>"ITC, Cash Grant"</formula1>
    </dataValidation>
    <dataValidation type="list" allowBlank="1" showInputMessage="1" showErrorMessage="1" sqref="P64 P66" xr:uid="{00000000-0002-0000-0100-000007000000}">
      <formula1>"As Generated, Carried Forward"</formula1>
    </dataValidation>
    <dataValidation errorStyle="warning" allowBlank="1" showInputMessage="1" showErrorMessage="1" sqref="P56" xr:uid="{00000000-0002-0000-0100-000008000000}"/>
    <dataValidation errorStyle="warning" operator="greaterThanOrEqual" allowBlank="1" showInputMessage="1" showErrorMessage="1" errorTitle="test" error="test" sqref="P155" xr:uid="{00000000-0002-0000-0100-00000A000000}"/>
    <dataValidation type="decimal" errorStyle="warning" operator="greaterThanOrEqual" allowBlank="1" showInputMessage="1" showErrorMessage="1" errorTitle="Project Fails to Meet DSCR" error="This project's cash flow is insufficient to support the amount of user-defined debt, and fails to meet the lender's requirements.    _x000a_Please read the note field(s) highlighted in yellow for options to cure this deficiency._x000a_" sqref="P58" xr:uid="{00000000-0002-0000-0100-000000000000}">
      <formula1>P57</formula1>
    </dataValidation>
    <dataValidation type="list" allowBlank="1" showInputMessage="1" showErrorMessage="1" sqref="G29" xr:uid="{00000000-0002-0000-0100-00000C000000}">
      <formula1>"Simple, Intermediate, Complex"</formula1>
    </dataValidation>
  </dataValidations>
  <hyperlinks>
    <hyperlink ref="E40" location="'Complex Inputs'!A1" display="'Complex Inputs'!A1" xr:uid="{00000000-0004-0000-0100-000000000000}"/>
    <hyperlink ref="N101" location="'Complex Inputs'!A114" display="'Complex Inputs'!A114" xr:uid="{00000000-0004-0000-0100-000002000000}"/>
  </hyperlink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2" id="{F6CE42A9-3B06-4319-89E6-52B56D58BC2A}">
            <xm:f>'Key inputs &amp; Outputs'!$F$13="No"</xm:f>
            <x14:dxf>
              <font>
                <color theme="0" tint="-0.14996795556505021"/>
              </font>
              <fill>
                <patternFill>
                  <bgColor theme="0" tint="-0.14996795556505021"/>
                </patternFill>
              </fill>
            </x14:dxf>
          </x14:cfRule>
          <xm:sqref>E32:G32</xm:sqref>
        </x14:conditionalFormatting>
        <x14:conditionalFormatting xmlns:xm="http://schemas.microsoft.com/office/excel/2006/main">
          <x14:cfRule type="expression" priority="6737" id="{910E3969-BFEB-4E79-90FE-34200CB6541B}">
            <xm:f>'Key inputs &amp; Outputs'!$F$14="No"</xm:f>
            <x14:dxf>
              <font>
                <color theme="0" tint="-0.14996795556505021"/>
              </font>
              <fill>
                <patternFill>
                  <bgColor theme="0" tint="-0.14996795556505021"/>
                </patternFill>
              </fill>
            </x14:dxf>
          </x14:cfRule>
          <xm:sqref>E57:G58</xm:sqref>
        </x14:conditionalFormatting>
        <x14:conditionalFormatting xmlns:xm="http://schemas.microsoft.com/office/excel/2006/main">
          <x14:cfRule type="expression" priority="21" id="{12607CCB-4C37-404A-8ACC-D99FDD8A7BA7}">
            <xm:f>'Key inputs &amp; Outputs'!$F$14="No"</xm:f>
            <x14:dxf>
              <font>
                <color theme="0" tint="-0.24994659260841701"/>
              </font>
              <fill>
                <patternFill>
                  <bgColor theme="0" tint="-0.24994659260841701"/>
                </patternFill>
              </fill>
            </x14:dxf>
          </x14:cfRule>
          <xm:sqref>E26:H26</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70557-9390-4AD3-88F8-C4CE71F5CDAB}">
  <sheetPr>
    <tabColor rgb="FFFFFF00"/>
  </sheetPr>
  <dimension ref="A1:M127"/>
  <sheetViews>
    <sheetView workbookViewId="0">
      <selection activeCell="E70" sqref="E70"/>
    </sheetView>
  </sheetViews>
  <sheetFormatPr defaultRowHeight="15" x14ac:dyDescent="0.25"/>
  <cols>
    <col min="1" max="1" width="7.7109375" customWidth="1"/>
    <col min="2" max="2" width="1.5703125" customWidth="1"/>
    <col min="3" max="3" width="59.85546875" customWidth="1"/>
    <col min="4" max="8" width="20.7109375" customWidth="1"/>
  </cols>
  <sheetData>
    <row r="1" spans="1:13" ht="15.75" thickBot="1" x14ac:dyDescent="0.3"/>
    <row r="2" spans="1:13" ht="15.75" x14ac:dyDescent="0.25">
      <c r="A2" s="1"/>
      <c r="B2" s="227"/>
      <c r="C2" s="325" t="s">
        <v>586</v>
      </c>
      <c r="D2" s="326"/>
      <c r="E2" s="327"/>
      <c r="F2" s="1"/>
      <c r="G2" s="1"/>
    </row>
    <row r="3" spans="1:13" ht="15.75" x14ac:dyDescent="0.25">
      <c r="A3" s="1"/>
      <c r="B3" s="1"/>
      <c r="C3" s="218" t="s">
        <v>580</v>
      </c>
      <c r="D3" s="218" t="s">
        <v>360</v>
      </c>
      <c r="E3" s="887">
        <f>'Key inputs &amp; Outputs'!F4</f>
        <v>8000000</v>
      </c>
      <c r="F3" s="652" t="s">
        <v>7</v>
      </c>
      <c r="G3" s="1"/>
    </row>
    <row r="4" spans="1:13" ht="15.75" x14ac:dyDescent="0.25">
      <c r="B4" s="1"/>
      <c r="C4" s="218" t="s">
        <v>636</v>
      </c>
      <c r="D4" s="790" t="s">
        <v>399</v>
      </c>
      <c r="E4" s="887">
        <f>'Key inputs &amp; Outputs'!F6</f>
        <v>18250</v>
      </c>
      <c r="F4" s="652" t="s">
        <v>7</v>
      </c>
      <c r="G4" s="1"/>
      <c r="M4" s="424" t="s">
        <v>914</v>
      </c>
    </row>
    <row r="5" spans="1:13" ht="15.75" x14ac:dyDescent="0.25">
      <c r="B5" s="1"/>
      <c r="C5" s="218"/>
      <c r="D5" s="790" t="s">
        <v>360</v>
      </c>
      <c r="E5" s="887">
        <f>E4*2000/'Nutrient Calculations'!Y7</f>
        <v>4879679.1443850268</v>
      </c>
      <c r="F5" s="652"/>
      <c r="G5" s="1"/>
      <c r="M5" s="600">
        <f>'Key inputs &amp; Outputs'!F12+1</f>
        <v>2</v>
      </c>
    </row>
    <row r="6" spans="1:13" ht="15.75" x14ac:dyDescent="0.25">
      <c r="B6" s="1"/>
      <c r="C6" s="368" t="s">
        <v>529</v>
      </c>
      <c r="D6" s="487" t="s">
        <v>676</v>
      </c>
      <c r="E6" s="762">
        <v>0.13</v>
      </c>
      <c r="F6" s="9" t="s">
        <v>7</v>
      </c>
      <c r="G6" s="1"/>
      <c r="M6" s="424" t="s">
        <v>913</v>
      </c>
    </row>
    <row r="7" spans="1:13" ht="15.75" x14ac:dyDescent="0.25">
      <c r="B7" s="1"/>
      <c r="C7" s="368" t="s">
        <v>530</v>
      </c>
      <c r="D7" s="487" t="s">
        <v>676</v>
      </c>
      <c r="E7" s="762">
        <v>0.2</v>
      </c>
      <c r="F7" s="9" t="s">
        <v>7</v>
      </c>
      <c r="G7" s="1"/>
      <c r="M7" s="882" t="str">
        <f>IF(E9="Yes","digestate liquid","digestate")</f>
        <v>digestate liquid</v>
      </c>
    </row>
    <row r="8" spans="1:13" ht="15.75" x14ac:dyDescent="0.25">
      <c r="B8" s="1"/>
      <c r="C8" s="368" t="s">
        <v>624</v>
      </c>
      <c r="D8" s="487" t="s">
        <v>676</v>
      </c>
      <c r="E8" s="761">
        <f>'Nutrient Calculations'!N19</f>
        <v>0.15652065600996473</v>
      </c>
      <c r="F8" s="1"/>
      <c r="G8" s="1"/>
      <c r="M8" s="882" t="str">
        <f>IF(E9="Yes","Digestate liquid","Digestate")</f>
        <v>Digestate liquid</v>
      </c>
    </row>
    <row r="9" spans="1:13" ht="15.75" x14ac:dyDescent="0.25">
      <c r="B9" s="1"/>
      <c r="C9" s="383" t="s">
        <v>714</v>
      </c>
      <c r="D9" s="69"/>
      <c r="E9" s="662" t="str">
        <f>'Key inputs &amp; Outputs'!F13</f>
        <v>Yes</v>
      </c>
      <c r="G9" s="1"/>
      <c r="M9" s="882" t="str">
        <f>IF(E9="Yes","digestate liquid &amp; bedding","digestate")</f>
        <v>digestate liquid &amp; bedding</v>
      </c>
    </row>
    <row r="10" spans="1:13" ht="15.75" x14ac:dyDescent="0.25">
      <c r="B10" s="1"/>
      <c r="C10" s="396" t="str">
        <f>"Total volume of "&amp;M9&amp;" % of feedstock"</f>
        <v>Total volume of digestate liquid &amp; bedding % of feedstock</v>
      </c>
      <c r="D10" s="487" t="s">
        <v>675</v>
      </c>
      <c r="E10" s="620">
        <v>0.92</v>
      </c>
      <c r="F10" s="1"/>
      <c r="G10" s="1"/>
    </row>
    <row r="11" spans="1:13" ht="15.75" x14ac:dyDescent="0.25">
      <c r="B11" s="1"/>
      <c r="C11" s="368" t="str">
        <f>"Total solids in "&amp;M9&amp;" % of feedstock"</f>
        <v>Total solids in digestate liquid &amp; bedding % of feedstock</v>
      </c>
      <c r="D11" s="487" t="s">
        <v>675</v>
      </c>
      <c r="E11" s="620">
        <v>0.75</v>
      </c>
      <c r="F11" s="9" t="s">
        <v>7</v>
      </c>
      <c r="G11" s="1"/>
    </row>
    <row r="12" spans="1:13" ht="15.75" x14ac:dyDescent="0.25">
      <c r="B12" s="445"/>
      <c r="C12" s="368" t="str">
        <f>"Total solids in "&amp;M9</f>
        <v>Total solids in digestate liquid &amp; bedding</v>
      </c>
      <c r="D12" s="487" t="s">
        <v>399</v>
      </c>
      <c r="E12" s="864">
        <f>'Nutrient Calculations'!N33*365</f>
        <v>5654.7000000000007</v>
      </c>
      <c r="G12" s="1"/>
    </row>
    <row r="13" spans="1:13" ht="15.75" x14ac:dyDescent="0.25">
      <c r="B13" s="445"/>
      <c r="C13" s="368" t="s">
        <v>802</v>
      </c>
      <c r="D13" s="487" t="s">
        <v>360</v>
      </c>
      <c r="E13" s="864">
        <f>'Nutrient Calculations'!N41</f>
        <v>11519727.348045494</v>
      </c>
      <c r="G13" s="1"/>
    </row>
    <row r="14" spans="1:13" ht="15.75" x14ac:dyDescent="0.25">
      <c r="B14" s="445"/>
      <c r="C14" s="943" t="str">
        <f>"Total solids &amp; liquid in "&amp;M9</f>
        <v>Total solids &amp; liquid in digestate liquid &amp; bedding</v>
      </c>
      <c r="D14" s="487" t="s">
        <v>360</v>
      </c>
      <c r="E14" s="863">
        <f>'Nutrient Calculations'!N30*E10</f>
        <v>11849304.812834226</v>
      </c>
      <c r="G14" s="1"/>
    </row>
    <row r="15" spans="1:13" ht="15.75" x14ac:dyDescent="0.25">
      <c r="B15" s="1"/>
      <c r="C15" s="368" t="s">
        <v>753</v>
      </c>
      <c r="D15" s="487" t="s">
        <v>674</v>
      </c>
      <c r="E15" s="620">
        <v>0.45</v>
      </c>
      <c r="F15" s="1"/>
      <c r="G15" s="1"/>
    </row>
    <row r="16" spans="1:13" ht="15.75" x14ac:dyDescent="0.25">
      <c r="B16" s="1"/>
      <c r="C16" s="368" t="s">
        <v>754</v>
      </c>
      <c r="D16" s="487" t="s">
        <v>674</v>
      </c>
      <c r="E16" s="620">
        <v>0</v>
      </c>
      <c r="F16" s="1"/>
      <c r="G16" s="1"/>
    </row>
    <row r="17" spans="1:9" ht="15.75" x14ac:dyDescent="0.25">
      <c r="B17" s="1"/>
      <c r="C17" s="368" t="s">
        <v>755</v>
      </c>
      <c r="D17" s="487" t="s">
        <v>674</v>
      </c>
      <c r="E17" s="620">
        <v>0.45</v>
      </c>
      <c r="F17" s="1"/>
      <c r="G17" s="1"/>
    </row>
    <row r="18" spans="1:9" ht="15.75" x14ac:dyDescent="0.25">
      <c r="B18" s="1"/>
      <c r="C18" s="368" t="s">
        <v>780</v>
      </c>
      <c r="D18" s="898" t="s">
        <v>767</v>
      </c>
      <c r="E18" s="620">
        <v>0.5</v>
      </c>
      <c r="F18" s="9" t="s">
        <v>7</v>
      </c>
      <c r="G18" s="1"/>
    </row>
    <row r="19" spans="1:9" ht="15.75" x14ac:dyDescent="0.25">
      <c r="B19" s="445"/>
      <c r="C19" s="387" t="str">
        <f>M8&amp;" solids volume"</f>
        <v>Digestate liquid solids volume</v>
      </c>
      <c r="D19" s="487" t="s">
        <v>399</v>
      </c>
      <c r="E19" s="864">
        <f>'Nutrient Calculations'!AF33*365</f>
        <v>8357.5933326505929</v>
      </c>
      <c r="G19" s="1"/>
    </row>
    <row r="20" spans="1:9" ht="15.75" x14ac:dyDescent="0.25">
      <c r="B20" s="1"/>
      <c r="C20" s="368" t="s">
        <v>728</v>
      </c>
      <c r="D20" s="487" t="s">
        <v>399</v>
      </c>
      <c r="E20" s="864">
        <f>E22/E21</f>
        <v>2465.2394366197191</v>
      </c>
      <c r="F20" s="1"/>
      <c r="G20" s="1"/>
    </row>
    <row r="21" spans="1:9" ht="15.75" x14ac:dyDescent="0.25">
      <c r="B21" s="445"/>
      <c r="C21" s="368" t="s">
        <v>727</v>
      </c>
      <c r="D21" s="487" t="s">
        <v>676</v>
      </c>
      <c r="E21" s="762">
        <v>0.35499999999999998</v>
      </c>
      <c r="F21" s="9" t="s">
        <v>7</v>
      </c>
      <c r="G21" s="1"/>
    </row>
    <row r="22" spans="1:9" ht="15.75" x14ac:dyDescent="0.25">
      <c r="B22" s="1"/>
      <c r="C22" s="368" t="s">
        <v>729</v>
      </c>
      <c r="D22" s="487" t="s">
        <v>399</v>
      </c>
      <c r="E22" s="889">
        <f>'Nutrient Calculations'!X40*E21</f>
        <v>875.1600000000002</v>
      </c>
      <c r="F22" s="1"/>
      <c r="G22" s="383"/>
    </row>
    <row r="23" spans="1:9" ht="15.75" x14ac:dyDescent="0.25">
      <c r="B23" s="1"/>
      <c r="C23" s="368" t="s">
        <v>905</v>
      </c>
      <c r="D23" s="487" t="s">
        <v>676</v>
      </c>
      <c r="E23" s="1103">
        <f>'Nutrient chart'!H39</f>
        <v>0.13398334021999561</v>
      </c>
      <c r="F23" s="1"/>
      <c r="G23" s="383"/>
    </row>
    <row r="24" spans="1:9" ht="15.75" x14ac:dyDescent="0.25">
      <c r="B24" s="1"/>
      <c r="C24" s="368" t="str">
        <f>"Total N in "&amp;M9&amp;" % of feedstock"</f>
        <v>Total N in digestate liquid &amp; bedding % of feedstock</v>
      </c>
      <c r="D24" s="487" t="s">
        <v>675</v>
      </c>
      <c r="E24" s="762">
        <v>1</v>
      </c>
      <c r="F24" s="9" t="s">
        <v>7</v>
      </c>
      <c r="G24" s="383"/>
    </row>
    <row r="25" spans="1:9" ht="15.75" x14ac:dyDescent="0.25">
      <c r="B25" s="1"/>
      <c r="C25" s="368" t="s">
        <v>715</v>
      </c>
      <c r="D25" s="487" t="s">
        <v>677</v>
      </c>
      <c r="E25" s="762">
        <v>0.3</v>
      </c>
      <c r="F25" s="9" t="s">
        <v>7</v>
      </c>
      <c r="G25" s="383"/>
    </row>
    <row r="26" spans="1:9" ht="16.5" thickBot="1" x14ac:dyDescent="0.3">
      <c r="B26" s="1"/>
      <c r="C26" s="445"/>
      <c r="D26" s="445"/>
      <c r="E26" s="445"/>
      <c r="G26" s="383"/>
    </row>
    <row r="27" spans="1:9" ht="16.5" thickBot="1" x14ac:dyDescent="0.3">
      <c r="A27" s="1"/>
      <c r="B27" s="1"/>
      <c r="C27" s="2" t="str">
        <f>IF(E9="Yes","Cropland application of manure, filtrate and/or bedding","Cropland application of manure or digestate")</f>
        <v>Cropland application of manure, filtrate and/or bedding</v>
      </c>
      <c r="D27" s="326"/>
      <c r="E27" s="327"/>
      <c r="F27" s="1"/>
      <c r="G27" s="445"/>
      <c r="H27" s="445"/>
      <c r="I27" s="445"/>
    </row>
    <row r="28" spans="1:9" ht="15.75" x14ac:dyDescent="0.25">
      <c r="A28" s="1"/>
      <c r="B28" s="1"/>
      <c r="C28" s="659" t="s">
        <v>628</v>
      </c>
      <c r="D28" s="661" t="s">
        <v>705</v>
      </c>
      <c r="E28" s="863">
        <f>'Key inputs &amp; Outputs'!F11</f>
        <v>1500</v>
      </c>
      <c r="F28" s="1"/>
      <c r="G28" s="445"/>
      <c r="H28" s="445"/>
      <c r="I28" s="445"/>
    </row>
    <row r="29" spans="1:9" ht="15.75" x14ac:dyDescent="0.25">
      <c r="A29" s="1"/>
      <c r="B29" s="1"/>
      <c r="C29" s="659" t="s">
        <v>706</v>
      </c>
      <c r="D29" s="945" t="s">
        <v>712</v>
      </c>
      <c r="E29" s="946">
        <f>'Nutrient Inputs'!M5</f>
        <v>2</v>
      </c>
      <c r="F29" s="1"/>
      <c r="G29" s="445"/>
      <c r="H29" s="445"/>
      <c r="I29" s="445"/>
    </row>
    <row r="30" spans="1:9" ht="15.75" x14ac:dyDescent="0.25">
      <c r="A30" s="1"/>
      <c r="B30" s="1"/>
      <c r="D30" s="945"/>
      <c r="E30" s="946"/>
      <c r="F30" s="1043" t="s">
        <v>886</v>
      </c>
      <c r="G30" s="994"/>
      <c r="H30" s="994"/>
      <c r="I30" s="445"/>
    </row>
    <row r="31" spans="1:9" ht="15.75" x14ac:dyDescent="0.25">
      <c r="A31" s="1"/>
      <c r="B31" s="1"/>
      <c r="C31" s="1042" t="s">
        <v>881</v>
      </c>
      <c r="D31" s="945"/>
      <c r="E31" s="1047"/>
      <c r="F31" s="1049">
        <v>3000</v>
      </c>
      <c r="G31" s="1050">
        <v>6000</v>
      </c>
      <c r="H31" s="1050">
        <v>9000</v>
      </c>
      <c r="I31" s="445"/>
    </row>
    <row r="32" spans="1:9" ht="15.75" x14ac:dyDescent="0.25">
      <c r="A32" s="1"/>
      <c r="B32" s="1"/>
      <c r="C32" s="218" t="s">
        <v>824</v>
      </c>
      <c r="D32" s="657" t="s">
        <v>0</v>
      </c>
      <c r="E32" s="1048">
        <v>30</v>
      </c>
      <c r="F32" s="1051">
        <f>$E$32+$E$33*F31/1000</f>
        <v>54</v>
      </c>
      <c r="G32" s="1051">
        <f>$E$32+$E$33*G31/1000</f>
        <v>78</v>
      </c>
      <c r="H32" s="1051">
        <f>$E$32+$E$33*H31/1000</f>
        <v>102</v>
      </c>
      <c r="I32" s="866" t="s">
        <v>7</v>
      </c>
    </row>
    <row r="33" spans="1:11" ht="15.75" x14ac:dyDescent="0.25">
      <c r="A33" s="1"/>
      <c r="B33" s="1"/>
      <c r="C33" s="218" t="s">
        <v>534</v>
      </c>
      <c r="D33" s="657" t="s">
        <v>0</v>
      </c>
      <c r="E33" s="862">
        <v>8</v>
      </c>
      <c r="I33" s="652" t="s">
        <v>7</v>
      </c>
      <c r="K33" s="427"/>
    </row>
    <row r="34" spans="1:11" ht="15.75" x14ac:dyDescent="0.25">
      <c r="A34" s="1"/>
      <c r="B34" s="1"/>
      <c r="F34" s="647" t="s">
        <v>887</v>
      </c>
      <c r="G34" s="427"/>
      <c r="H34" s="427"/>
      <c r="I34" s="652"/>
      <c r="K34" s="427"/>
    </row>
    <row r="35" spans="1:11" ht="15.75" x14ac:dyDescent="0.25">
      <c r="A35" s="1"/>
      <c r="B35" s="1"/>
      <c r="F35" s="1052">
        <v>10</v>
      </c>
      <c r="G35" s="1052">
        <v>15</v>
      </c>
      <c r="H35" s="1052">
        <v>20</v>
      </c>
      <c r="I35" s="866"/>
      <c r="K35" s="427"/>
    </row>
    <row r="36" spans="1:11" ht="15.75" x14ac:dyDescent="0.25">
      <c r="A36" s="1"/>
      <c r="B36" s="1"/>
      <c r="C36" s="218" t="s">
        <v>660</v>
      </c>
      <c r="D36" s="657" t="s">
        <v>0</v>
      </c>
      <c r="E36" s="1048">
        <v>6</v>
      </c>
      <c r="F36" s="1051">
        <f>$E$36*F35</f>
        <v>60</v>
      </c>
      <c r="G36" s="1051">
        <f t="shared" ref="G36:H36" si="0">$E$36*G35</f>
        <v>90</v>
      </c>
      <c r="H36" s="1051">
        <f t="shared" si="0"/>
        <v>120</v>
      </c>
      <c r="I36" s="866" t="s">
        <v>7</v>
      </c>
    </row>
    <row r="37" spans="1:11" ht="15.75" x14ac:dyDescent="0.25">
      <c r="A37" s="1"/>
      <c r="B37" s="1"/>
      <c r="C37" s="108"/>
      <c r="D37" s="874"/>
      <c r="E37" s="845"/>
      <c r="F37" s="752"/>
      <c r="G37" s="445"/>
      <c r="H37" s="445"/>
      <c r="I37" s="445"/>
    </row>
    <row r="38" spans="1:11" ht="15.75" x14ac:dyDescent="0.25">
      <c r="A38" s="1"/>
      <c r="B38" s="1"/>
      <c r="C38" s="651" t="s">
        <v>813</v>
      </c>
      <c r="D38" s="108"/>
      <c r="E38" s="445"/>
      <c r="G38" s="445"/>
      <c r="H38" s="445"/>
      <c r="I38" s="445"/>
    </row>
    <row r="39" spans="1:11" ht="15.75" x14ac:dyDescent="0.25">
      <c r="A39" s="1"/>
      <c r="B39" s="1"/>
      <c r="C39" s="218" t="s">
        <v>814</v>
      </c>
      <c r="D39" s="661" t="s">
        <v>264</v>
      </c>
      <c r="E39" s="855">
        <v>30</v>
      </c>
      <c r="F39" s="652" t="s">
        <v>7</v>
      </c>
      <c r="G39" s="445"/>
      <c r="H39" s="445"/>
      <c r="I39" s="445"/>
    </row>
    <row r="40" spans="1:11" ht="15.75" x14ac:dyDescent="0.25">
      <c r="A40" s="1"/>
      <c r="B40" s="1"/>
      <c r="C40" s="383"/>
      <c r="D40" s="383"/>
      <c r="E40" s="383"/>
      <c r="F40" s="383"/>
      <c r="G40" s="383"/>
      <c r="H40" s="445"/>
      <c r="I40" s="445"/>
    </row>
    <row r="41" spans="1:11" ht="15.75" x14ac:dyDescent="0.25">
      <c r="A41" s="1"/>
      <c r="B41" s="1"/>
      <c r="C41" s="802"/>
      <c r="D41" s="803" t="s">
        <v>571</v>
      </c>
      <c r="E41" s="803" t="s">
        <v>629</v>
      </c>
      <c r="F41" s="803" t="s">
        <v>630</v>
      </c>
      <c r="G41" s="803" t="s">
        <v>569</v>
      </c>
      <c r="H41" s="803" t="s">
        <v>570</v>
      </c>
      <c r="I41" s="801" t="s">
        <v>7</v>
      </c>
    </row>
    <row r="42" spans="1:11" ht="15.75" x14ac:dyDescent="0.25">
      <c r="A42" s="1"/>
      <c r="B42" s="1"/>
      <c r="C42" s="368" t="s">
        <v>572</v>
      </c>
      <c r="D42" s="794">
        <v>34.19</v>
      </c>
      <c r="E42" s="794">
        <v>11.89</v>
      </c>
      <c r="F42" s="846">
        <f>MAX(D42-E42,0)</f>
        <v>22.299999999999997</v>
      </c>
      <c r="G42" s="794">
        <v>12.74</v>
      </c>
      <c r="H42" s="794">
        <v>27.68</v>
      </c>
      <c r="I42" s="9" t="s">
        <v>7</v>
      </c>
    </row>
    <row r="43" spans="1:11" ht="15.75" x14ac:dyDescent="0.25">
      <c r="A43" s="1"/>
      <c r="B43" s="1"/>
      <c r="C43" s="368" t="s">
        <v>573</v>
      </c>
      <c r="D43" s="623">
        <v>29</v>
      </c>
      <c r="E43" s="623">
        <v>4</v>
      </c>
      <c r="F43" s="846">
        <f>MAX(D43-E43,0)</f>
        <v>25</v>
      </c>
      <c r="G43" s="793">
        <v>10.5</v>
      </c>
      <c r="H43" s="793">
        <v>9.5</v>
      </c>
      <c r="I43" s="9" t="s">
        <v>7</v>
      </c>
    </row>
    <row r="44" spans="1:11" ht="15.75" x14ac:dyDescent="0.25">
      <c r="A44" s="1"/>
      <c r="B44" s="1"/>
      <c r="C44" s="368" t="s">
        <v>873</v>
      </c>
      <c r="D44" s="1028">
        <f>10.7/(2000*0.844)</f>
        <v>6.3388625592417057E-3</v>
      </c>
      <c r="E44" s="1028">
        <f>0.0039/(2000*0.844)</f>
        <v>2.31042654028436E-6</v>
      </c>
      <c r="F44" s="1029">
        <f>'Nutrient Inputs'!D44-'Nutrient Inputs'!E44</f>
        <v>6.3365521327014215E-3</v>
      </c>
      <c r="G44" s="1028">
        <f>2.91/(2000*0.844)</f>
        <v>1.7239336492890997E-3</v>
      </c>
      <c r="H44" s="1028">
        <f>2.53/(2000*0.844)</f>
        <v>1.4988151658767771E-3</v>
      </c>
      <c r="I44" s="10"/>
    </row>
    <row r="45" spans="1:11" ht="15.75" x14ac:dyDescent="0.25">
      <c r="A45" s="1"/>
      <c r="B45" s="1"/>
      <c r="C45" s="445"/>
      <c r="D45" s="445"/>
      <c r="E45" s="445"/>
      <c r="F45" s="445"/>
      <c r="G45" s="445"/>
      <c r="H45" s="445"/>
      <c r="I45" s="445"/>
    </row>
    <row r="46" spans="1:11" ht="15.75" x14ac:dyDescent="0.25">
      <c r="A46" s="1"/>
      <c r="B46" s="1"/>
      <c r="C46" s="368" t="s">
        <v>668</v>
      </c>
      <c r="D46" s="762">
        <v>0.08</v>
      </c>
      <c r="E46" s="762">
        <v>7.0000000000000007E-2</v>
      </c>
      <c r="F46" s="772">
        <f>'Nutrient Calculations'!AF46</f>
        <v>4.4868788705157661E-2</v>
      </c>
      <c r="G46" s="762">
        <v>0.34</v>
      </c>
      <c r="H46" s="762">
        <v>0.1</v>
      </c>
      <c r="I46" s="1"/>
    </row>
    <row r="47" spans="1:11" ht="15.75" x14ac:dyDescent="0.25">
      <c r="A47" s="1"/>
      <c r="B47" s="1"/>
      <c r="C47" s="368" t="str">
        <f>IF('Key inputs &amp; Outputs'!F13="Yes","Digestate liquid, lb per 1,000 gal","Digestate, lb per 1,000 gal")</f>
        <v>Digestate liquid, lb per 1,000 gal</v>
      </c>
      <c r="D47" s="850">
        <f>'Nutrient Calculations'!O44</f>
        <v>34.586709853621585</v>
      </c>
      <c r="E47" s="850">
        <f>'Nutrient Calculations'!O45</f>
        <v>17.152301728594043</v>
      </c>
      <c r="F47" s="846">
        <f>MAX(D47-E47,0)</f>
        <v>17.434408125027542</v>
      </c>
      <c r="G47" s="851">
        <f>'Nutrient Calculations'!O47</f>
        <v>11.03498371989537</v>
      </c>
      <c r="H47" s="851">
        <f>'Nutrient Calculations'!O48</f>
        <v>22.084472712910088</v>
      </c>
      <c r="I47" s="9" t="s">
        <v>7</v>
      </c>
    </row>
    <row r="48" spans="1:11" ht="15.75" x14ac:dyDescent="0.25">
      <c r="A48" s="1"/>
      <c r="B48" s="1"/>
      <c r="C48" s="368" t="s">
        <v>737</v>
      </c>
      <c r="D48" s="873">
        <f>'Nutrient Calculations'!X44*2000</f>
        <v>6.7341238992387256</v>
      </c>
      <c r="E48" s="873">
        <f>'Nutrient Calculations'!X45*2000</f>
        <v>2.9070080370941533</v>
      </c>
      <c r="F48" s="873">
        <f>D48-E48</f>
        <v>3.8271158621445722</v>
      </c>
      <c r="G48" s="873">
        <f>'Nutrient Calculations'!X47*2000</f>
        <v>10.561500390577928</v>
      </c>
      <c r="H48" s="873">
        <f>'Nutrient Calculations'!X48*2000</f>
        <v>5.4314592711297704</v>
      </c>
      <c r="I48" s="9" t="s">
        <v>7</v>
      </c>
    </row>
    <row r="49" spans="1:9" ht="15.75" x14ac:dyDescent="0.25">
      <c r="A49" s="1"/>
      <c r="B49" s="1"/>
      <c r="C49" s="645" t="s">
        <v>828</v>
      </c>
      <c r="D49" s="445"/>
      <c r="E49" s="445"/>
      <c r="F49" s="445"/>
      <c r="G49" s="445"/>
      <c r="H49" s="445"/>
      <c r="I49" s="445"/>
    </row>
    <row r="50" spans="1:9" ht="15.75" x14ac:dyDescent="0.25">
      <c r="A50" s="1"/>
      <c r="B50" s="1"/>
      <c r="C50" s="368" t="s">
        <v>625</v>
      </c>
      <c r="D50" s="772">
        <f>(E42*E50+F42*F50)/D42</f>
        <v>0.36955250073120793</v>
      </c>
      <c r="E50" s="762">
        <v>0.5</v>
      </c>
      <c r="F50" s="762">
        <v>0.3</v>
      </c>
      <c r="G50" s="762">
        <v>0.8</v>
      </c>
      <c r="H50" s="762">
        <v>1</v>
      </c>
      <c r="I50" s="9" t="s">
        <v>7</v>
      </c>
    </row>
    <row r="51" spans="1:9" ht="15.75" x14ac:dyDescent="0.25">
      <c r="A51" s="1"/>
      <c r="B51" s="1"/>
      <c r="C51" s="368" t="str">
        <f>IF('Key inputs &amp; Outputs'!F13="Yes","Digestate liquid nutrient availability, %","Digestate nutrient availability, %")</f>
        <v>Digestate liquid nutrient availability, %</v>
      </c>
      <c r="D51" s="772">
        <f>IFERROR((E51*E47+F51*F47)/D47,0)</f>
        <v>0.39918435029632066</v>
      </c>
      <c r="E51" s="762">
        <v>0.5</v>
      </c>
      <c r="F51" s="762">
        <v>0.3</v>
      </c>
      <c r="G51" s="762">
        <v>0.8</v>
      </c>
      <c r="H51" s="762">
        <v>1</v>
      </c>
      <c r="I51" s="9" t="s">
        <v>7</v>
      </c>
    </row>
    <row r="52" spans="1:9" ht="15.75" x14ac:dyDescent="0.25">
      <c r="A52" s="1"/>
      <c r="B52" s="1"/>
      <c r="C52" s="368" t="s">
        <v>730</v>
      </c>
      <c r="D52" s="772">
        <f>IFERROR((E52*E48+F52*F48)/D48,0)</f>
        <v>0.38633663652736722</v>
      </c>
      <c r="E52" s="762">
        <v>0.5</v>
      </c>
      <c r="F52" s="762">
        <v>0.3</v>
      </c>
      <c r="G52" s="762">
        <v>0.8</v>
      </c>
      <c r="H52" s="762">
        <v>1</v>
      </c>
      <c r="I52" s="9" t="s">
        <v>7</v>
      </c>
    </row>
    <row r="53" spans="1:9" ht="15.75" x14ac:dyDescent="0.25">
      <c r="A53" s="1"/>
      <c r="B53" s="1"/>
      <c r="C53" s="645" t="s">
        <v>829</v>
      </c>
      <c r="D53" s="772">
        <f>IFERROR((E53*E47+F53*F47)/D47,0)</f>
        <v>0.2</v>
      </c>
      <c r="E53" s="762">
        <v>0.2</v>
      </c>
      <c r="F53" s="762">
        <v>0.2</v>
      </c>
      <c r="G53" s="762">
        <v>0.8</v>
      </c>
      <c r="H53" s="762">
        <v>1</v>
      </c>
      <c r="I53" s="10"/>
    </row>
    <row r="54" spans="1:9" ht="15.75" x14ac:dyDescent="0.25">
      <c r="A54" s="1"/>
      <c r="B54" s="1"/>
      <c r="C54" s="445"/>
      <c r="D54" s="445"/>
      <c r="E54" s="445"/>
      <c r="F54" s="445"/>
      <c r="G54" s="445"/>
      <c r="H54" s="445"/>
      <c r="I54" s="445"/>
    </row>
    <row r="55" spans="1:9" ht="33" customHeight="1" x14ac:dyDescent="0.25">
      <c r="A55" s="1"/>
      <c r="B55" s="1"/>
      <c r="C55" s="368" t="s">
        <v>872</v>
      </c>
      <c r="D55" s="1155" t="s">
        <v>884</v>
      </c>
      <c r="E55" s="1156"/>
      <c r="F55" s="1156"/>
      <c r="G55" s="1156"/>
      <c r="H55" s="1157"/>
      <c r="I55" s="9"/>
    </row>
    <row r="56" spans="1:9" ht="15.75" x14ac:dyDescent="0.25">
      <c r="A56" s="1"/>
      <c r="B56" s="1"/>
      <c r="C56" s="368" t="s">
        <v>707</v>
      </c>
      <c r="D56" s="641">
        <v>140</v>
      </c>
      <c r="E56" s="792"/>
      <c r="F56" s="792"/>
      <c r="G56" s="641">
        <v>30</v>
      </c>
      <c r="H56" s="641">
        <v>150</v>
      </c>
      <c r="I56" s="9" t="s">
        <v>7</v>
      </c>
    </row>
    <row r="57" spans="1:9" ht="15.75" x14ac:dyDescent="0.25">
      <c r="A57" s="1"/>
      <c r="B57" s="1"/>
      <c r="C57" s="368" t="s">
        <v>621</v>
      </c>
      <c r="D57" s="758">
        <v>0.77</v>
      </c>
      <c r="E57" s="791"/>
      <c r="F57" s="791"/>
      <c r="G57" s="758">
        <v>0.65</v>
      </c>
      <c r="H57" s="758">
        <v>0.54</v>
      </c>
      <c r="I57" s="9" t="s">
        <v>7</v>
      </c>
    </row>
    <row r="58" spans="1:9" ht="15.75" x14ac:dyDescent="0.25">
      <c r="A58" s="1"/>
      <c r="B58" s="1"/>
      <c r="C58" s="718" t="str">
        <f>IF('Key inputs &amp; Outputs'!F13="Yes","Nutrients applied as digestate liquid","Nutrients applied as digestate")&amp;", actual lb/acre applied"</f>
        <v>Nutrients applied as digestate liquid, actual lb/acre applied</v>
      </c>
      <c r="D58" s="369">
        <f>'Nutrient Calculations'!N50</f>
        <v>140</v>
      </c>
      <c r="E58" s="369"/>
      <c r="F58" s="369"/>
      <c r="G58" s="369">
        <f>'Nutrient Calculations'!N51</f>
        <v>89.51729740184102</v>
      </c>
      <c r="H58" s="369">
        <f>'Nutrient Calculations'!N52</f>
        <v>223.94032945423771</v>
      </c>
      <c r="I58" s="9" t="s">
        <v>7</v>
      </c>
    </row>
    <row r="59" spans="1:9" ht="15.75" x14ac:dyDescent="0.25">
      <c r="A59" s="1"/>
      <c r="B59" s="1"/>
      <c r="C59" s="718" t="s">
        <v>731</v>
      </c>
      <c r="D59" s="369">
        <f>'Nutrient Calculations'!V50</f>
        <v>52.032775543808974</v>
      </c>
      <c r="E59" s="369"/>
      <c r="F59" s="369"/>
      <c r="G59" s="369">
        <f>'Nutrient Calculations'!V51</f>
        <v>168.98400624924685</v>
      </c>
      <c r="H59" s="369">
        <f>'Nutrient Calculations'!V52</f>
        <v>108.6291854225954</v>
      </c>
      <c r="I59" s="9" t="s">
        <v>7</v>
      </c>
    </row>
    <row r="61" spans="1:9" ht="15.75" thickBot="1" x14ac:dyDescent="0.3"/>
    <row r="62" spans="1:9" ht="70.5" customHeight="1" x14ac:dyDescent="0.25">
      <c r="B62" s="1"/>
      <c r="C62" s="666" t="s">
        <v>588</v>
      </c>
      <c r="D62" s="666" t="s">
        <v>591</v>
      </c>
      <c r="E62" s="666" t="str">
        <f>M8&amp;IF('Key inputs &amp; Outputs'!F14="Yes"," from manure, food waste &amp; grass"," from manure &amp; food waste")</f>
        <v>Digestate liquid from manure, food waste &amp; grass</v>
      </c>
      <c r="F62" s="666" t="s">
        <v>590</v>
      </c>
      <c r="G62" s="1"/>
    </row>
    <row r="63" spans="1:9" ht="15.75" x14ac:dyDescent="0.25">
      <c r="B63" s="1"/>
      <c r="C63" s="883" t="s">
        <v>806</v>
      </c>
      <c r="D63" s="864">
        <f>M5*E28</f>
        <v>3000</v>
      </c>
      <c r="E63" s="864">
        <f>D63+Switchgrass_Key_Inputs!L22</f>
        <v>3500</v>
      </c>
      <c r="F63" s="864">
        <f>E63-D63</f>
        <v>500</v>
      </c>
      <c r="G63" s="368"/>
    </row>
    <row r="64" spans="1:9" ht="15.75" x14ac:dyDescent="0.25">
      <c r="B64" s="1"/>
      <c r="C64" s="368" t="s">
        <v>807</v>
      </c>
      <c r="D64" s="864">
        <f>'Nutrient Calculations'!D56</f>
        <v>11080.332409972301</v>
      </c>
      <c r="E64" s="864">
        <f>'Nutrient Calculations'!AJ56</f>
        <v>8473.1406484769668</v>
      </c>
      <c r="F64" s="864">
        <f>E64-D64</f>
        <v>-2607.1917614953345</v>
      </c>
      <c r="G64" s="368"/>
    </row>
    <row r="65" spans="1:10" ht="15.75" x14ac:dyDescent="0.25">
      <c r="B65" s="1"/>
      <c r="C65" s="368" t="s">
        <v>874</v>
      </c>
      <c r="D65" s="665">
        <f>'Nutrient Calculations'!D60</f>
        <v>2943.4850863422294</v>
      </c>
      <c r="E65" s="369">
        <f>'Nutrient Calculations'!AJ60</f>
        <v>3758.6294033652489</v>
      </c>
      <c r="F65" s="369">
        <f>E65-D65</f>
        <v>815.14431702301954</v>
      </c>
      <c r="G65" s="9" t="s">
        <v>7</v>
      </c>
      <c r="J65" s="417"/>
    </row>
    <row r="66" spans="1:10" ht="15.75" x14ac:dyDescent="0.25">
      <c r="B66" s="1"/>
      <c r="C66" s="883" t="s">
        <v>875</v>
      </c>
      <c r="D66" s="884">
        <f>IF('Nutrient Calculations'!G68&gt;'Nutrient Calculations'!I68,'Nutrient Calculations'!D56,'Nutrient Calculations'!D60)</f>
        <v>2943.4850863422294</v>
      </c>
      <c r="E66" s="885">
        <f>IF('Nutrient Calculations'!AL68&gt;'Nutrient Calculations'!AN68,'Nutrient Calculations'!AJ56,'Nutrient Calculations'!AJ60)</f>
        <v>3758.6294033652489</v>
      </c>
      <c r="F66" s="369">
        <f t="shared" ref="F66:F67" si="1">E66-D66</f>
        <v>815.14431702301954</v>
      </c>
      <c r="G66" s="9"/>
    </row>
    <row r="67" spans="1:10" ht="15.75" x14ac:dyDescent="0.25">
      <c r="B67" s="1"/>
      <c r="C67" s="883" t="s">
        <v>876</v>
      </c>
      <c r="D67" s="1030">
        <f>ROUND(D66,-2)</f>
        <v>2900</v>
      </c>
      <c r="E67" s="1030">
        <f>ROUND(E66,-2)</f>
        <v>3800</v>
      </c>
      <c r="F67" s="369">
        <f t="shared" si="1"/>
        <v>900</v>
      </c>
      <c r="G67" s="9" t="s">
        <v>7</v>
      </c>
      <c r="H67" s="417"/>
    </row>
    <row r="68" spans="1:10" ht="15.75" x14ac:dyDescent="0.25">
      <c r="B68" s="1"/>
      <c r="C68" s="1031" t="s">
        <v>808</v>
      </c>
      <c r="D68" s="1032">
        <f>'Nutrient Calculations'!E56</f>
        <v>722</v>
      </c>
      <c r="E68" s="1032">
        <f>IF('Key inputs &amp; Outputs'!F14="Yes",'Nutrient Calculations'!AK56,'Nutrient Calculations'!O56)</f>
        <v>1459.9027311325217</v>
      </c>
      <c r="F68" s="1032">
        <f>E68-D68</f>
        <v>737.90273113252169</v>
      </c>
      <c r="G68" s="9" t="s">
        <v>7</v>
      </c>
    </row>
    <row r="69" spans="1:10" ht="15.75" x14ac:dyDescent="0.25">
      <c r="B69" s="1"/>
      <c r="C69" s="1031" t="s">
        <v>903</v>
      </c>
      <c r="D69" s="1032">
        <f>'Nutrient Calculations'!E60</f>
        <v>2717.8666666666668</v>
      </c>
      <c r="E69" s="1032">
        <f>IF('Key inputs &amp; Outputs'!F14="Yes",'Nutrient Calculations'!AK60,'Nutrient Calculations'!O60)</f>
        <v>3291.0829577681152</v>
      </c>
      <c r="F69" s="1032">
        <f>E69-D69</f>
        <v>573.21629110144841</v>
      </c>
      <c r="G69" s="9" t="s">
        <v>7</v>
      </c>
    </row>
    <row r="70" spans="1:10" ht="15.75" x14ac:dyDescent="0.25">
      <c r="B70" s="1"/>
      <c r="C70" s="1031" t="s">
        <v>877</v>
      </c>
      <c r="D70" s="1032">
        <f>'Nutrient Calculations'!E61</f>
        <v>2758.6206896551726</v>
      </c>
      <c r="E70" s="1032">
        <f>IF('Key inputs &amp; Outputs'!F14="Yes",'Nutrient Calculations'!AK61,'Nutrient Calculations'!O61)</f>
        <v>3255.25294052145</v>
      </c>
      <c r="F70" s="1032">
        <f>'Nutrient Calculations'!AK61</f>
        <v>3255.25294052145</v>
      </c>
      <c r="G70" s="10"/>
    </row>
    <row r="71" spans="1:10" ht="15.75" x14ac:dyDescent="0.25">
      <c r="B71" s="1"/>
      <c r="C71" s="368"/>
      <c r="D71" s="368"/>
      <c r="E71" s="803" t="s">
        <v>744</v>
      </c>
      <c r="F71" s="368"/>
      <c r="G71" s="1"/>
    </row>
    <row r="72" spans="1:10" ht="15.75" x14ac:dyDescent="0.25">
      <c r="B72" s="1"/>
      <c r="C72" s="368" t="s">
        <v>773</v>
      </c>
      <c r="D72" s="368"/>
      <c r="E72" s="1030">
        <v>20</v>
      </c>
      <c r="F72" s="368"/>
      <c r="G72" s="801" t="s">
        <v>7</v>
      </c>
    </row>
    <row r="73" spans="1:10" ht="15.75" x14ac:dyDescent="0.25">
      <c r="B73" s="1"/>
      <c r="C73" s="368" t="s">
        <v>589</v>
      </c>
      <c r="D73" s="368"/>
      <c r="E73" s="369">
        <f>'Nutrient Calculations'!AV57</f>
        <v>208.91704223188503</v>
      </c>
      <c r="F73" s="368"/>
      <c r="G73" s="801" t="s">
        <v>7</v>
      </c>
    </row>
    <row r="74" spans="1:10" ht="15.75" x14ac:dyDescent="0.25">
      <c r="B74" s="1"/>
      <c r="C74" s="368"/>
      <c r="D74" s="947"/>
      <c r="E74" s="803" t="str">
        <f>M8&amp;" &amp; bedding total"</f>
        <v>Digestate liquid &amp; bedding total</v>
      </c>
      <c r="F74" s="947"/>
      <c r="G74" s="1"/>
    </row>
    <row r="75" spans="1:10" ht="15.75" x14ac:dyDescent="0.25">
      <c r="C75" s="368" t="s">
        <v>808</v>
      </c>
      <c r="D75" s="369">
        <f>D68</f>
        <v>722</v>
      </c>
      <c r="E75" s="369">
        <f>E68+E73</f>
        <v>1668.8197733644067</v>
      </c>
      <c r="F75" s="369">
        <f>E75-D75</f>
        <v>946.81977336440673</v>
      </c>
      <c r="G75" s="9" t="s">
        <v>7</v>
      </c>
    </row>
    <row r="76" spans="1:10" ht="15.75" x14ac:dyDescent="0.25">
      <c r="C76" s="368" t="s">
        <v>809</v>
      </c>
      <c r="D76" s="948" t="str">
        <f>IF('Key inputs &amp; Outputs'!$F$11*'Nutrient Inputs'!$M$5-D75&gt;=0,"Yes","No")</f>
        <v>Yes</v>
      </c>
      <c r="E76" s="948" t="str">
        <f>IF('Key inputs &amp; Outputs'!$F$11*'Nutrient Inputs'!$M$5+Switchgrass_Key_Inputs!L22-E75&gt;=0,"Yes","No")</f>
        <v>Yes</v>
      </c>
    </row>
    <row r="77" spans="1:10" ht="15.75" x14ac:dyDescent="0.25">
      <c r="B77" s="1"/>
      <c r="C77" s="368" t="s">
        <v>818</v>
      </c>
      <c r="D77" s="369">
        <f>D69</f>
        <v>2717.8666666666668</v>
      </c>
      <c r="E77" s="369">
        <f>E69+E73</f>
        <v>3500</v>
      </c>
      <c r="F77" s="369">
        <f>E77-D77</f>
        <v>782.13333333333321</v>
      </c>
      <c r="G77" s="9" t="s">
        <v>7</v>
      </c>
    </row>
    <row r="78" spans="1:10" ht="15.75" x14ac:dyDescent="0.25">
      <c r="A78" s="274"/>
      <c r="B78" s="1"/>
      <c r="C78" s="368" t="s">
        <v>810</v>
      </c>
      <c r="D78" s="948" t="str">
        <f>IF('Key inputs &amp; Outputs'!$F$11*'Nutrient Inputs'!$M$5-D77&gt;=0,"Yes","No")</f>
        <v>Yes</v>
      </c>
      <c r="E78" s="948" t="str">
        <f>IF('Key inputs &amp; Outputs'!$F$11*'Nutrient Inputs'!$M$5+Switchgrass_Key_Inputs!L22-E77&gt;=0,"Yes","No")</f>
        <v>Yes</v>
      </c>
      <c r="F78" s="368"/>
      <c r="G78" s="1"/>
    </row>
    <row r="79" spans="1:10" ht="15.75" x14ac:dyDescent="0.25">
      <c r="C79" s="368" t="s">
        <v>838</v>
      </c>
      <c r="D79" s="487" t="str">
        <f>'Nutrient Calculations'!J70</f>
        <v>P or land-based</v>
      </c>
      <c r="E79" s="487" t="str">
        <f>IF('Key inputs &amp; Outputs'!F14="Yes",'Nutrient Calculations'!T70,'Nutrient Calculations'!AO70)</f>
        <v>P or land-based</v>
      </c>
      <c r="F79" s="368"/>
    </row>
    <row r="114" spans="3:5" x14ac:dyDescent="0.25">
      <c r="C114" s="789" t="s">
        <v>662</v>
      </c>
      <c r="D114" s="789" t="str">
        <f ca="1">CELL("address",'Nutrient Inputs'!D42)</f>
        <v>$D$42</v>
      </c>
      <c r="E114" s="789" cm="1">
        <f t="array" aca="1" ref="E114" ca="1">INDIRECT(D114)</f>
        <v>34.19</v>
      </c>
    </row>
    <row r="115" spans="3:5" x14ac:dyDescent="0.25">
      <c r="C115" s="789" t="s">
        <v>663</v>
      </c>
      <c r="D115" s="789" t="str">
        <f ca="1">CELL("address",'Nutrient Inputs'!E42)</f>
        <v>$E$42</v>
      </c>
      <c r="E115" s="789" cm="1">
        <f t="array" aca="1" ref="E115" ca="1">INDIRECT(D115)</f>
        <v>11.89</v>
      </c>
    </row>
    <row r="116" spans="3:5" x14ac:dyDescent="0.25">
      <c r="C116" s="789" t="s">
        <v>664</v>
      </c>
      <c r="D116" s="789" t="str">
        <f ca="1">CELL("address",'Nutrient Inputs'!G42)</f>
        <v>$G$42</v>
      </c>
      <c r="E116" s="789" cm="1">
        <f t="array" aca="1" ref="E116" ca="1">INDIRECT(D116)</f>
        <v>12.74</v>
      </c>
    </row>
    <row r="117" spans="3:5" x14ac:dyDescent="0.25">
      <c r="C117" s="789" t="s">
        <v>665</v>
      </c>
      <c r="D117" s="789" t="str">
        <f ca="1">CELL("address",'Nutrient Inputs'!H42)</f>
        <v>$H$42</v>
      </c>
      <c r="E117" s="789" cm="1">
        <f t="array" aca="1" ref="E117" ca="1">INDIRECT(D117)</f>
        <v>27.68</v>
      </c>
    </row>
    <row r="118" spans="3:5" x14ac:dyDescent="0.25">
      <c r="C118" s="789" t="s">
        <v>530</v>
      </c>
      <c r="D118" s="789" t="str">
        <f ca="1">CELL("address",'Nutrient Inputs'!E7)</f>
        <v>$E$7</v>
      </c>
      <c r="E118" s="789" cm="1">
        <f t="array" aca="1" ref="E118" ca="1">INDIRECT(D118)</f>
        <v>0.2</v>
      </c>
    </row>
    <row r="119" spans="3:5" x14ac:dyDescent="0.25">
      <c r="C119" s="789" t="s">
        <v>645</v>
      </c>
      <c r="D119" s="789" t="str">
        <f ca="1">CELL("address",'Nutrient Inputs'!D43)</f>
        <v>$D$43</v>
      </c>
      <c r="E119" s="789" cm="1">
        <f t="array" aca="1" ref="E119" ca="1">INDIRECT(D119)</f>
        <v>29</v>
      </c>
    </row>
    <row r="120" spans="3:5" x14ac:dyDescent="0.25">
      <c r="C120" s="789" t="s">
        <v>646</v>
      </c>
      <c r="D120" s="789" t="str">
        <f ca="1">CELL("address",'Nutrient Inputs'!E43)</f>
        <v>$E$43</v>
      </c>
      <c r="E120" s="789" cm="1">
        <f t="array" aca="1" ref="E120" ca="1">INDIRECT(D120)</f>
        <v>4</v>
      </c>
    </row>
    <row r="121" spans="3:5" x14ac:dyDescent="0.25">
      <c r="C121" s="789" t="s">
        <v>647</v>
      </c>
      <c r="D121" s="789" t="str">
        <f ca="1">CELL("address",'Nutrient Inputs'!G43)</f>
        <v>$G$43</v>
      </c>
      <c r="E121" s="789" cm="1">
        <f t="array" aca="1" ref="E121" ca="1">INDIRECT(D121)</f>
        <v>10.5</v>
      </c>
    </row>
    <row r="122" spans="3:5" x14ac:dyDescent="0.25">
      <c r="C122" s="789" t="s">
        <v>648</v>
      </c>
      <c r="D122" s="789" t="str">
        <f ca="1">CELL("address",'Nutrient Inputs'!H43)</f>
        <v>$H$43</v>
      </c>
      <c r="E122" s="789" cm="1">
        <f t="array" aca="1" ref="E122" ca="1">INDIRECT(D122)</f>
        <v>9.5</v>
      </c>
    </row>
    <row r="123" spans="3:5" x14ac:dyDescent="0.25">
      <c r="C123" s="789" t="s">
        <v>654</v>
      </c>
      <c r="D123" s="789" t="str">
        <f ca="1">CELL("address",'Nutrient Inputs'!E51)</f>
        <v>$E$51</v>
      </c>
      <c r="E123" s="789" cm="1">
        <f t="array" aca="1" ref="E123" ca="1">INDIRECT(D123)</f>
        <v>0.5</v>
      </c>
    </row>
    <row r="124" spans="3:5" x14ac:dyDescent="0.25">
      <c r="C124" s="789" t="s">
        <v>655</v>
      </c>
      <c r="D124" s="789" t="str">
        <f ca="1">CELL("address",'Nutrient Inputs'!E6)</f>
        <v>$E$6</v>
      </c>
      <c r="E124" s="789" cm="1">
        <f t="array" aca="1" ref="E124" ca="1">INDIRECT(D124)</f>
        <v>0.13</v>
      </c>
    </row>
    <row r="125" spans="3:5" x14ac:dyDescent="0.25">
      <c r="C125" s="789" t="s">
        <v>656</v>
      </c>
      <c r="D125" s="789" t="str">
        <f ca="1">CELL("address",'Nutrient Inputs'!E7)</f>
        <v>$E$7</v>
      </c>
      <c r="E125" s="789" cm="1">
        <f t="array" aca="1" ref="E125" ca="1">INDIRECT(D125)</f>
        <v>0.2</v>
      </c>
    </row>
    <row r="126" spans="3:5" x14ac:dyDescent="0.25">
      <c r="C126" s="789" t="s">
        <v>716</v>
      </c>
      <c r="D126" s="789" t="e">
        <f ca="1">CELL("address",'Nutrient Inputs'!#REF!)</f>
        <v>#REF!</v>
      </c>
      <c r="E126" s="852" t="e" cm="1">
        <f t="array" aca="1" ref="E126" ca="1">INDIRECT(D126)</f>
        <v>#REF!</v>
      </c>
    </row>
    <row r="127" spans="3:5" x14ac:dyDescent="0.25">
      <c r="C127" s="789" t="s">
        <v>587</v>
      </c>
      <c r="D127" s="789" t="str">
        <f ca="1">CELL("address",'Nutrient Inputs'!E21)</f>
        <v>$E$21</v>
      </c>
      <c r="E127" s="852" cm="1">
        <f t="array" aca="1" ref="E127" ca="1">INDIRECT(D127)</f>
        <v>0.35499999999999998</v>
      </c>
    </row>
  </sheetData>
  <sheetProtection sheet="1" objects="1" scenarios="1"/>
  <protectedRanges>
    <protectedRange sqref="E4:E5" name="Column Q Inputs_1_1_1"/>
  </protectedRanges>
  <mergeCells count="1">
    <mergeCell ref="D55:H55"/>
  </mergeCells>
  <conditionalFormatting sqref="A78">
    <cfRule type="expression" dxfId="38" priority="22">
      <formula>OR($E$191="No",$F$191="No")</formula>
    </cfRule>
  </conditionalFormatting>
  <conditionalFormatting sqref="C20:D20 F20 C48:I48 C52:I52 I53 C59:I59">
    <cfRule type="expression" dxfId="37" priority="21">
      <formula>$F$160="No"</formula>
    </cfRule>
  </conditionalFormatting>
  <conditionalFormatting sqref="C20:D21 C22:E22 E23">
    <cfRule type="expression" dxfId="36" priority="17">
      <formula>$E$9="No"</formula>
    </cfRule>
  </conditionalFormatting>
  <conditionalFormatting sqref="C13:E13 C15:E18 C52:I52 I53 C59:I59">
    <cfRule type="expression" dxfId="35" priority="18">
      <formula>$E$9="No"</formula>
    </cfRule>
  </conditionalFormatting>
  <conditionalFormatting sqref="C71:G74">
    <cfRule type="expression" dxfId="33" priority="1">
      <formula>$E$9="No"</formula>
    </cfRule>
  </conditionalFormatting>
  <conditionalFormatting sqref="C46:I46">
    <cfRule type="expression" dxfId="31" priority="20">
      <formula>$F$160="No"</formula>
    </cfRule>
  </conditionalFormatting>
  <conditionalFormatting sqref="C48:I48">
    <cfRule type="expression" dxfId="30" priority="15">
      <formula>$E$9="No"</formula>
    </cfRule>
  </conditionalFormatting>
  <conditionalFormatting sqref="D32:D33 D36:D37">
    <cfRule type="expression" dxfId="29" priority="6718">
      <formula>$G$62="Intermediate"</formula>
    </cfRule>
  </conditionalFormatting>
  <conditionalFormatting sqref="D53:F53">
    <cfRule type="expression" dxfId="28" priority="6898">
      <formula>$E$9="No"</formula>
    </cfRule>
    <cfRule type="expression" dxfId="27" priority="6899">
      <formula>$F$160="No"</formula>
    </cfRule>
  </conditionalFormatting>
  <conditionalFormatting sqref="E22:E23">
    <cfRule type="expression" dxfId="26" priority="13">
      <formula>$F$160="No"</formula>
    </cfRule>
  </conditionalFormatting>
  <conditionalFormatting sqref="F21">
    <cfRule type="expression" dxfId="25" priority="16">
      <formula>$E$9="No"</formula>
    </cfRule>
  </conditionalFormatting>
  <pageMargins left="0.7" right="0.7" top="0.75" bottom="0.75" header="0.3" footer="0.3"/>
  <pageSetup orientation="portrait" horizontalDpi="0" verticalDpi="0" r:id="rId1"/>
  <legacyDrawing r:id="rId2"/>
  <extLst>
    <ext xmlns:x14="http://schemas.microsoft.com/office/spreadsheetml/2009/9/main" uri="{78C0D931-6437-407d-A8EE-F0AAD7539E65}">
      <x14:conditionalFormattings>
        <x14:conditionalFormatting xmlns:xm="http://schemas.microsoft.com/office/excel/2006/main">
          <x14:cfRule type="expression" priority="3" id="{AF782452-26AC-4E90-AC87-3C6C17A24887}">
            <xm:f>'Key inputs &amp; Outputs'!$F$14="No"</xm:f>
            <x14:dxf>
              <font>
                <strike val="0"/>
                <color theme="0" tint="-0.14996795556505021"/>
              </font>
              <fill>
                <patternFill>
                  <bgColor theme="0" tint="-0.14996795556505021"/>
                </patternFill>
              </fill>
            </x14:dxf>
          </x14:cfRule>
          <xm:sqref>C17:E17 C44:H44</xm:sqref>
        </x14:conditionalFormatting>
        <x14:conditionalFormatting xmlns:xm="http://schemas.microsoft.com/office/excel/2006/main">
          <x14:cfRule type="expression" priority="2" id="{8FEAF169-C147-42A1-9B5D-446F1D50FE7C}">
            <xm:f>'Key inputs &amp; Outputs'!$F$14="No"</xm:f>
            <x14:dxf>
              <font>
                <color theme="0" tint="-0.14996795556505021"/>
              </font>
              <fill>
                <patternFill>
                  <bgColor theme="0" tint="-0.14996795556505021"/>
                </patternFill>
              </fill>
            </x14:dxf>
          </x14:cfRule>
          <xm:sqref>C53:H53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A0FED-9493-4075-8C95-0B055FC76AD0}">
  <sheetPr codeName="Sheet8">
    <tabColor rgb="FF00B050"/>
  </sheetPr>
  <dimension ref="B1:AE94"/>
  <sheetViews>
    <sheetView topLeftCell="A26" workbookViewId="0">
      <selection activeCell="J44" sqref="J44"/>
    </sheetView>
  </sheetViews>
  <sheetFormatPr defaultColWidth="9.140625" defaultRowHeight="15.75" x14ac:dyDescent="0.25"/>
  <cols>
    <col min="1" max="1" width="3.140625" style="445" customWidth="1"/>
    <col min="2" max="2" width="68.85546875" style="445" customWidth="1"/>
    <col min="3" max="4" width="14.7109375" style="445" customWidth="1"/>
    <col min="5" max="5" width="14.7109375" customWidth="1"/>
    <col min="6" max="6" width="17.28515625" customWidth="1"/>
    <col min="7" max="10" width="14.140625" style="445" customWidth="1"/>
    <col min="11" max="11" width="43.42578125" style="445" customWidth="1"/>
    <col min="12" max="14" width="14.5703125" style="445" customWidth="1"/>
    <col min="15" max="16" width="9.140625" style="445"/>
    <col min="17" max="17" width="35.5703125" style="445" customWidth="1"/>
    <col min="18" max="16384" width="9.140625" style="445"/>
  </cols>
  <sheetData>
    <row r="1" spans="2:23" ht="16.5" thickBot="1" x14ac:dyDescent="0.3">
      <c r="E1" s="445"/>
      <c r="F1" s="445"/>
    </row>
    <row r="2" spans="2:23" ht="21" thickBot="1" x14ac:dyDescent="0.3">
      <c r="B2" s="1158" t="s">
        <v>431</v>
      </c>
      <c r="C2" s="1158"/>
      <c r="D2" s="1158"/>
      <c r="E2" s="1158"/>
      <c r="F2" s="1158"/>
      <c r="G2" s="1158"/>
      <c r="H2" s="1158"/>
      <c r="I2" s="1158"/>
      <c r="J2" s="1158"/>
      <c r="K2" s="446"/>
      <c r="L2" s="446"/>
      <c r="M2" s="446"/>
      <c r="N2" s="446"/>
      <c r="O2" s="447"/>
      <c r="P2" s="447"/>
      <c r="Q2" s="447"/>
      <c r="R2" s="447"/>
      <c r="S2" s="447"/>
      <c r="T2" s="447"/>
      <c r="U2" s="447"/>
      <c r="V2" s="447"/>
      <c r="W2" s="447"/>
    </row>
    <row r="3" spans="2:23" customFormat="1" thickBot="1" x14ac:dyDescent="0.3"/>
    <row r="4" spans="2:23" customFormat="1" x14ac:dyDescent="0.25">
      <c r="B4" s="1" t="s">
        <v>376</v>
      </c>
      <c r="C4" s="445"/>
      <c r="D4" s="879" t="str">
        <f>'Key inputs &amp; Outputs'!F14</f>
        <v>Yes</v>
      </c>
      <c r="F4" s="458" t="s">
        <v>382</v>
      </c>
      <c r="G4" s="227"/>
      <c r="H4" s="227"/>
    </row>
    <row r="5" spans="2:23" x14ac:dyDescent="0.25">
      <c r="E5" s="445"/>
      <c r="F5" s="1" t="s">
        <v>379</v>
      </c>
      <c r="G5" s="456"/>
      <c r="K5" s="448" t="s">
        <v>377</v>
      </c>
      <c r="L5" s="450" t="s">
        <v>349</v>
      </c>
    </row>
    <row r="6" spans="2:23" x14ac:dyDescent="0.25">
      <c r="B6" s="448" t="s">
        <v>342</v>
      </c>
      <c r="E6" s="445"/>
      <c r="G6"/>
      <c r="H6"/>
      <c r="K6" s="452" t="s">
        <v>376</v>
      </c>
      <c r="L6" s="455" t="str">
        <f>IF('Financial Inputs'!X118=1,"No","Yes")</f>
        <v>Yes</v>
      </c>
      <c r="M6" s="449"/>
      <c r="N6" s="449"/>
    </row>
    <row r="7" spans="2:23" x14ac:dyDescent="0.25">
      <c r="N7" s="451"/>
    </row>
    <row r="8" spans="2:23" ht="16.5" thickBot="1" x14ac:dyDescent="0.3">
      <c r="B8" s="470" t="s">
        <v>397</v>
      </c>
      <c r="C8" s="751"/>
      <c r="D8" s="754"/>
      <c r="E8" s="752"/>
      <c r="K8" s="452"/>
      <c r="L8" s="753"/>
    </row>
    <row r="9" spans="2:23" x14ac:dyDescent="0.25">
      <c r="B9" s="445" t="s">
        <v>535</v>
      </c>
      <c r="C9" s="756"/>
      <c r="D9" s="755" t="s">
        <v>105</v>
      </c>
      <c r="K9" s="452" t="str">
        <f>B9</f>
        <v>Will you include a site preparation year before the grass planting year?</v>
      </c>
      <c r="L9" s="453">
        <f>IF(D9="No",0,1)</f>
        <v>0</v>
      </c>
      <c r="M9" s="454"/>
      <c r="N9" s="454"/>
    </row>
    <row r="10" spans="2:23" x14ac:dyDescent="0.25">
      <c r="C10" s="751"/>
      <c r="D10" s="754"/>
      <c r="E10" s="752"/>
      <c r="K10" s="452"/>
      <c r="L10" s="753"/>
    </row>
    <row r="11" spans="2:23" x14ac:dyDescent="0.25">
      <c r="B11" s="448" t="s">
        <v>533</v>
      </c>
      <c r="K11" s="593" t="str">
        <f t="shared" ref="K11" si="0">B11</f>
        <v>Switchgrass budget inputs</v>
      </c>
    </row>
    <row r="12" spans="2:23" ht="30" x14ac:dyDescent="0.25">
      <c r="B12" s="579" t="s">
        <v>541</v>
      </c>
      <c r="D12" s="583" t="s">
        <v>525</v>
      </c>
      <c r="F12" s="652" t="s">
        <v>7</v>
      </c>
    </row>
    <row r="13" spans="2:23" x14ac:dyDescent="0.25">
      <c r="B13" s="580" t="s">
        <v>537</v>
      </c>
      <c r="D13" s="584">
        <v>17</v>
      </c>
      <c r="E13" t="str">
        <f>IF(C14&lt;&gt;"$",C14&amp;"/acre","")</f>
        <v/>
      </c>
      <c r="F13" s="652" t="s">
        <v>7</v>
      </c>
    </row>
    <row r="14" spans="2:23" x14ac:dyDescent="0.25">
      <c r="B14" s="580" t="s">
        <v>536</v>
      </c>
      <c r="C14" s="584" t="s">
        <v>0</v>
      </c>
      <c r="D14" s="796">
        <v>1</v>
      </c>
      <c r="E14" t="str">
        <f>IF($D$12="CRP","$ / acre",IF($D$12="Corn/Alfalfa Rotation","$ / bu",IF($D$12="Corn/Soybean Rotation","$ / bu",IF($D$12="Pasture for Grazing/Haying",""))))</f>
        <v/>
      </c>
      <c r="F14" s="652" t="s">
        <v>7</v>
      </c>
    </row>
    <row r="15" spans="2:23" x14ac:dyDescent="0.25">
      <c r="B15" s="580" t="s">
        <v>538</v>
      </c>
      <c r="D15" s="796">
        <v>0</v>
      </c>
      <c r="E15" t="s">
        <v>448</v>
      </c>
      <c r="F15" s="652" t="s">
        <v>7</v>
      </c>
    </row>
    <row r="16" spans="2:23" x14ac:dyDescent="0.25">
      <c r="B16" s="591" t="s">
        <v>539</v>
      </c>
      <c r="D16" s="797">
        <v>1</v>
      </c>
      <c r="F16" s="652" t="s">
        <v>7</v>
      </c>
    </row>
    <row r="17" spans="2:26" x14ac:dyDescent="0.25">
      <c r="B17" s="580" t="str">
        <f>IF(pctcorn&lt;1,"2nd crop in the rotation that the switchgrass replaces or competes with","Intentionally left blank")</f>
        <v>Intentionally left blank</v>
      </c>
      <c r="D17" s="592" t="s">
        <v>455</v>
      </c>
    </row>
    <row r="18" spans="2:26" x14ac:dyDescent="0.25">
      <c r="B18" s="580" t="str">
        <f>IF(pctcorn&lt;1,"Estimated yield or revenue of the other crop in the rotation","Intentionally left blank")</f>
        <v>Intentionally left blank</v>
      </c>
      <c r="D18" s="590">
        <v>50</v>
      </c>
      <c r="E18" t="str">
        <f>IF(D19&lt;&gt;"$",D19&amp;"/acre","")</f>
        <v>bushel/acre</v>
      </c>
    </row>
    <row r="19" spans="2:26" x14ac:dyDescent="0.25">
      <c r="B19" s="580" t="str">
        <f>IF(pctcorn&lt;1,"Units the yield is measured in (bushels, animal units, etc.) or $ if revenue","Intentionally left blank")</f>
        <v>Intentionally left blank</v>
      </c>
      <c r="D19" s="584" t="s">
        <v>540</v>
      </c>
    </row>
    <row r="20" spans="2:26" x14ac:dyDescent="0.25">
      <c r="B20" s="580" t="str">
        <f>IF(pctcorn&lt;1,"Price or value per unit (enter '1' if the yield is entered as '$')","Intentionally left blank")</f>
        <v>Intentionally left blank</v>
      </c>
      <c r="D20" s="589">
        <f>Switchgrass_Key_Inputs!P50</f>
        <v>0</v>
      </c>
      <c r="E20" t="str">
        <f>IF($D$12="CRP","$ / acre",IF($D$12="Corn/Alfalfa Rotation","$ / ton",IF($D$12="Corn/Soybean Rotation","$ / bu",IF($D$12="Pasture for Grazing/Haying",""))))</f>
        <v/>
      </c>
    </row>
    <row r="21" spans="2:26" x14ac:dyDescent="0.25">
      <c r="B21" s="580" t="str">
        <f>IF(pctcorn&lt;1,"Annual non-land production costs for this crop","Intentionally left blank")</f>
        <v>Intentionally left blank</v>
      </c>
      <c r="D21" s="590">
        <v>200</v>
      </c>
      <c r="E21" t="s">
        <v>448</v>
      </c>
    </row>
    <row r="22" spans="2:26" x14ac:dyDescent="0.25">
      <c r="B22" s="580" t="s">
        <v>736</v>
      </c>
      <c r="D22" s="481">
        <f>'Key inputs &amp; Outputs'!F15</f>
        <v>500</v>
      </c>
      <c r="K22" s="452" t="str">
        <f>'Key inputs &amp; Outputs'!D15</f>
        <v>Acres of grass or vegetation to be digested</v>
      </c>
      <c r="L22" s="453">
        <f>IF('Financial Inputs'!$X$118=2,'Key inputs &amp; Outputs'!F15,0)</f>
        <v>500</v>
      </c>
    </row>
    <row r="23" spans="2:26" x14ac:dyDescent="0.25">
      <c r="B23" s="664" t="s">
        <v>584</v>
      </c>
      <c r="C23"/>
      <c r="D23" s="483">
        <v>0.85</v>
      </c>
      <c r="F23" s="652" t="s">
        <v>7</v>
      </c>
      <c r="K23" s="452" t="str">
        <f>B23</f>
        <v>Switchgrass percent dry matter</v>
      </c>
      <c r="L23" s="663">
        <f>IF('Financial Inputs'!$X$118=2,D23,0)</f>
        <v>0.85</v>
      </c>
    </row>
    <row r="24" spans="2:26" x14ac:dyDescent="0.25">
      <c r="B24" s="581" t="s">
        <v>585</v>
      </c>
      <c r="D24" s="585">
        <v>10</v>
      </c>
      <c r="E24" t="s">
        <v>27</v>
      </c>
      <c r="F24" s="652" t="s">
        <v>7</v>
      </c>
    </row>
    <row r="25" spans="2:26" x14ac:dyDescent="0.25">
      <c r="B25" s="582" t="s">
        <v>550</v>
      </c>
      <c r="D25" s="586">
        <f>D27*0.25</f>
        <v>1.5</v>
      </c>
      <c r="E25" t="s">
        <v>450</v>
      </c>
      <c r="F25" s="652" t="s">
        <v>7</v>
      </c>
    </row>
    <row r="26" spans="2:26" x14ac:dyDescent="0.25">
      <c r="B26" s="582" t="s">
        <v>551</v>
      </c>
      <c r="D26" s="586">
        <f>D27*0.5</f>
        <v>3</v>
      </c>
      <c r="E26" t="s">
        <v>450</v>
      </c>
      <c r="F26" s="652" t="s">
        <v>7</v>
      </c>
    </row>
    <row r="27" spans="2:26" x14ac:dyDescent="0.25">
      <c r="B27" s="582" t="s">
        <v>552</v>
      </c>
      <c r="D27" s="586">
        <v>6</v>
      </c>
      <c r="E27" t="s">
        <v>450</v>
      </c>
      <c r="F27" s="652" t="s">
        <v>7</v>
      </c>
    </row>
    <row r="28" spans="2:26" x14ac:dyDescent="0.25">
      <c r="B28" s="581" t="s">
        <v>626</v>
      </c>
      <c r="D28" s="763">
        <f>D45</f>
        <v>5.4057866653011857</v>
      </c>
      <c r="E28" t="s">
        <v>450</v>
      </c>
      <c r="F28" s="652"/>
    </row>
    <row r="29" spans="2:26" x14ac:dyDescent="0.25">
      <c r="B29" s="581" t="s">
        <v>553</v>
      </c>
      <c r="D29" s="587">
        <v>1250</v>
      </c>
      <c r="E29" t="s">
        <v>454</v>
      </c>
      <c r="F29" s="652" t="s">
        <v>7</v>
      </c>
      <c r="K29"/>
      <c r="L29"/>
      <c r="M29"/>
      <c r="N29"/>
      <c r="O29"/>
      <c r="P29"/>
      <c r="Q29"/>
      <c r="R29"/>
      <c r="S29"/>
      <c r="T29"/>
      <c r="U29"/>
      <c r="V29"/>
      <c r="W29"/>
      <c r="X29"/>
      <c r="Y29"/>
      <c r="Z29"/>
    </row>
    <row r="30" spans="2:26" x14ac:dyDescent="0.25">
      <c r="B30" s="581"/>
      <c r="D30" s="995"/>
      <c r="F30" s="752"/>
      <c r="K30"/>
      <c r="L30"/>
      <c r="M30"/>
      <c r="N30"/>
      <c r="O30"/>
      <c r="P30"/>
      <c r="Q30"/>
      <c r="R30"/>
      <c r="S30"/>
      <c r="T30"/>
      <c r="U30"/>
      <c r="V30"/>
      <c r="W30"/>
      <c r="X30"/>
      <c r="Y30"/>
      <c r="Z30"/>
    </row>
    <row r="31" spans="2:26" x14ac:dyDescent="0.25">
      <c r="K31"/>
      <c r="L31"/>
      <c r="M31"/>
      <c r="N31"/>
      <c r="O31"/>
      <c r="P31"/>
      <c r="Q31"/>
      <c r="R31"/>
      <c r="S31"/>
      <c r="T31"/>
      <c r="U31"/>
      <c r="V31"/>
      <c r="W31"/>
      <c r="X31"/>
      <c r="Y31"/>
      <c r="Z31"/>
    </row>
    <row r="32" spans="2:26" ht="30" x14ac:dyDescent="0.25">
      <c r="B32" s="448" t="s">
        <v>619</v>
      </c>
      <c r="C32" s="416" t="s">
        <v>433</v>
      </c>
      <c r="D32" s="416" t="s">
        <v>440</v>
      </c>
      <c r="E32" s="416" t="s">
        <v>441</v>
      </c>
      <c r="K32"/>
      <c r="L32"/>
      <c r="M32"/>
      <c r="N32"/>
      <c r="O32"/>
      <c r="P32"/>
      <c r="Q32"/>
      <c r="R32"/>
      <c r="S32"/>
      <c r="T32"/>
      <c r="U32"/>
      <c r="V32"/>
      <c r="W32"/>
      <c r="X32"/>
      <c r="Y32"/>
      <c r="Z32"/>
    </row>
    <row r="33" spans="2:31" x14ac:dyDescent="0.25">
      <c r="B33" s="468" t="s">
        <v>398</v>
      </c>
      <c r="C33" t="s">
        <v>442</v>
      </c>
      <c r="D33" s="1108">
        <f>E34/D34</f>
        <v>0.26389017252609986</v>
      </c>
      <c r="K33"/>
      <c r="L33"/>
      <c r="M33"/>
      <c r="N33"/>
      <c r="O33"/>
      <c r="P33"/>
      <c r="Q33"/>
      <c r="R33"/>
      <c r="S33"/>
      <c r="T33"/>
      <c r="U33"/>
      <c r="V33"/>
      <c r="W33"/>
      <c r="X33"/>
      <c r="Y33"/>
      <c r="Z33"/>
    </row>
    <row r="34" spans="2:31" x14ac:dyDescent="0.25">
      <c r="B34" t="s">
        <v>909</v>
      </c>
      <c r="C34" s="418">
        <f>'Nutrient Calculations'!N24*365</f>
        <v>7539.6000000000013</v>
      </c>
      <c r="D34" s="418">
        <f>'Nutrient Calculations'!N24*365+E34</f>
        <v>10242.493332650594</v>
      </c>
      <c r="E34" s="418">
        <f>'Key inputs &amp; Outputs'!F15*D45</f>
        <v>2702.893332650593</v>
      </c>
      <c r="K34"/>
      <c r="L34"/>
      <c r="M34"/>
      <c r="N34"/>
      <c r="O34"/>
      <c r="P34"/>
      <c r="Q34"/>
      <c r="R34"/>
      <c r="S34"/>
      <c r="T34"/>
      <c r="U34"/>
      <c r="V34"/>
      <c r="W34"/>
      <c r="X34"/>
      <c r="Y34"/>
      <c r="Z34"/>
    </row>
    <row r="35" spans="2:31" x14ac:dyDescent="0.25">
      <c r="B35" t="s">
        <v>910</v>
      </c>
      <c r="C35" s="418">
        <f>'Financial Inputs'!Y135</f>
        <v>348.97209252062288</v>
      </c>
      <c r="D35" s="418">
        <f>'Financial Inputs'!Z135</f>
        <v>405.49126514620104</v>
      </c>
      <c r="E35" s="418">
        <f>'Financial Inputs'!AA135</f>
        <v>56.519172625578165</v>
      </c>
      <c r="K35"/>
      <c r="L35"/>
      <c r="M35"/>
      <c r="N35"/>
      <c r="O35"/>
      <c r="P35"/>
      <c r="Q35"/>
      <c r="R35"/>
      <c r="S35"/>
      <c r="T35"/>
      <c r="U35"/>
      <c r="V35"/>
      <c r="W35"/>
      <c r="X35"/>
      <c r="Y35"/>
      <c r="Z35"/>
    </row>
    <row r="36" spans="2:31" x14ac:dyDescent="0.25">
      <c r="B36" s="469" t="s">
        <v>443</v>
      </c>
      <c r="C36" s="417">
        <f>'Key inputs &amp; Outputs'!$F$4*'Key inputs &amp; Outputs'!$F$5/365+'Key inputs &amp; Outputs'!$F$6*'Key inputs &amp; Outputs'!$F$7/365</f>
        <v>182890.4109589041</v>
      </c>
      <c r="D36" s="417">
        <f>C36+E36</f>
        <v>212511.15980986951</v>
      </c>
      <c r="E36" s="488">
        <f>'Financial Inputs'!G26*E34/365</f>
        <v>29620.748850965403</v>
      </c>
      <c r="K36"/>
      <c r="L36"/>
      <c r="M36"/>
      <c r="N36"/>
      <c r="O36"/>
      <c r="P36"/>
      <c r="Q36"/>
      <c r="R36"/>
      <c r="S36"/>
      <c r="T36"/>
      <c r="U36"/>
      <c r="V36"/>
      <c r="W36"/>
      <c r="X36"/>
      <c r="Y36"/>
      <c r="Z36"/>
      <c r="AA36" s="491"/>
      <c r="AB36" s="491"/>
      <c r="AC36"/>
      <c r="AD36" s="491"/>
      <c r="AE36" s="491"/>
    </row>
    <row r="37" spans="2:31" x14ac:dyDescent="0.25">
      <c r="B37" s="469" t="s">
        <v>911</v>
      </c>
      <c r="C37" s="409">
        <f>'Financial Inputs'!Y125</f>
        <v>222854.97417204006</v>
      </c>
      <c r="D37" s="409">
        <f>'Financial Inputs'!Z125</f>
        <v>258948.34388742479</v>
      </c>
      <c r="E37" s="490">
        <f>'Financial Inputs'!AA125</f>
        <v>36093.369715384732</v>
      </c>
      <c r="K37"/>
      <c r="L37"/>
      <c r="M37"/>
      <c r="N37"/>
      <c r="O37"/>
      <c r="P37"/>
      <c r="Q37"/>
      <c r="R37"/>
      <c r="S37"/>
      <c r="T37"/>
      <c r="U37"/>
      <c r="V37"/>
      <c r="W37"/>
      <c r="X37"/>
      <c r="Y37"/>
      <c r="Z37"/>
      <c r="AA37" s="491"/>
      <c r="AB37" s="491"/>
      <c r="AC37"/>
      <c r="AD37" s="491"/>
      <c r="AE37" s="491"/>
    </row>
    <row r="38" spans="2:31" x14ac:dyDescent="0.25">
      <c r="B38" s="468" t="s">
        <v>444</v>
      </c>
      <c r="C38" s="409">
        <f>'Financial Inputs'!Y127</f>
        <v>36642.069714665406</v>
      </c>
      <c r="D38" s="409">
        <f>'Financial Inputs'!Z127</f>
        <v>49472.24380274977</v>
      </c>
      <c r="E38" s="489">
        <f>C38*IF('Financial Inputs'!X118=2,D33,1)</f>
        <v>9669.482098716433</v>
      </c>
      <c r="K38"/>
      <c r="L38"/>
      <c r="M38"/>
      <c r="N38"/>
      <c r="O38"/>
      <c r="P38"/>
      <c r="Q38"/>
      <c r="R38"/>
      <c r="S38"/>
      <c r="T38"/>
      <c r="U38"/>
      <c r="V38"/>
      <c r="W38"/>
      <c r="X38"/>
      <c r="Y38"/>
      <c r="Z38"/>
    </row>
    <row r="39" spans="2:31" x14ac:dyDescent="0.25">
      <c r="B39" s="468" t="s">
        <v>445</v>
      </c>
      <c r="C39" s="409">
        <f>'Nutrient Calculations'!AA68</f>
        <v>136564.01402442076</v>
      </c>
      <c r="D39" s="409">
        <f>'Nutrient Calculations'!AS68</f>
        <v>144571.25827390311</v>
      </c>
      <c r="E39" s="490">
        <f>D39-C39</f>
        <v>8007.2442494823481</v>
      </c>
      <c r="K39"/>
      <c r="L39"/>
      <c r="M39"/>
      <c r="N39"/>
      <c r="O39"/>
      <c r="P39"/>
      <c r="Q39"/>
      <c r="R39"/>
      <c r="S39"/>
      <c r="T39"/>
      <c r="U39"/>
      <c r="V39"/>
      <c r="W39"/>
      <c r="X39"/>
      <c r="Y39"/>
      <c r="Z39"/>
    </row>
    <row r="40" spans="2:31" x14ac:dyDescent="0.25">
      <c r="B40" s="468" t="str">
        <f>Switchgrass_Key_Inputs!B9</f>
        <v>Will you include a site preparation year before the grass planting year?</v>
      </c>
      <c r="C40" s="409"/>
      <c r="D40" s="490" t="str">
        <f>Switchgrass_Key_Inputs!D9</f>
        <v>No</v>
      </c>
      <c r="E40" s="409"/>
      <c r="K40"/>
      <c r="L40"/>
      <c r="M40"/>
      <c r="N40"/>
      <c r="O40"/>
      <c r="P40"/>
      <c r="Q40"/>
      <c r="R40"/>
      <c r="S40"/>
      <c r="T40"/>
      <c r="U40"/>
      <c r="V40"/>
      <c r="W40"/>
      <c r="X40"/>
      <c r="Y40"/>
      <c r="Z40"/>
    </row>
    <row r="41" spans="2:31" x14ac:dyDescent="0.25">
      <c r="C41"/>
      <c r="D41"/>
      <c r="K41"/>
      <c r="L41"/>
      <c r="M41"/>
      <c r="N41"/>
      <c r="O41"/>
      <c r="P41"/>
      <c r="Q41"/>
      <c r="R41"/>
      <c r="S41"/>
      <c r="T41"/>
      <c r="U41"/>
      <c r="V41"/>
      <c r="W41"/>
      <c r="X41"/>
      <c r="Y41"/>
      <c r="Z41"/>
    </row>
    <row r="42" spans="2:31" x14ac:dyDescent="0.25">
      <c r="B42" s="448" t="s">
        <v>546</v>
      </c>
      <c r="K42"/>
      <c r="L42"/>
      <c r="M42"/>
      <c r="N42"/>
      <c r="O42"/>
      <c r="P42"/>
      <c r="Q42"/>
      <c r="R42"/>
      <c r="S42"/>
      <c r="T42"/>
      <c r="U42"/>
      <c r="V42"/>
      <c r="W42"/>
      <c r="X42"/>
      <c r="Y42"/>
      <c r="Z42"/>
    </row>
    <row r="43" spans="2:31" x14ac:dyDescent="0.25">
      <c r="B43" s="445" t="s">
        <v>912</v>
      </c>
      <c r="C43" s="933">
        <f>'Financial Inputs'!Y119</f>
        <v>3417657.8516103798</v>
      </c>
      <c r="D43" s="933">
        <f>'Financial Inputs'!Z119</f>
        <v>3869061.598421386</v>
      </c>
      <c r="E43" s="409">
        <f>'Financial Inputs'!AA119</f>
        <v>451403.74681100622</v>
      </c>
      <c r="K43"/>
      <c r="L43"/>
      <c r="M43"/>
      <c r="N43"/>
      <c r="O43"/>
      <c r="P43"/>
      <c r="Q43"/>
      <c r="R43"/>
      <c r="S43"/>
      <c r="T43"/>
      <c r="U43"/>
      <c r="V43"/>
      <c r="W43"/>
      <c r="X43"/>
      <c r="Y43"/>
      <c r="Z43"/>
    </row>
    <row r="44" spans="2:31" x14ac:dyDescent="0.25">
      <c r="B44" s="574" t="s">
        <v>543</v>
      </c>
      <c r="D44" s="596">
        <f>-PMT(Switchgrass_Budget!D57,Switchgrass_Budget!G57,'Detailed Cash Flow'!F113)</f>
        <v>432.51241043814616</v>
      </c>
      <c r="E44" t="s">
        <v>449</v>
      </c>
      <c r="K44"/>
      <c r="L44"/>
      <c r="M44"/>
      <c r="N44"/>
      <c r="O44"/>
      <c r="P44"/>
      <c r="Q44"/>
      <c r="R44"/>
      <c r="S44"/>
      <c r="T44"/>
      <c r="U44"/>
      <c r="V44"/>
      <c r="W44"/>
      <c r="X44"/>
      <c r="Y44"/>
      <c r="Z44"/>
    </row>
    <row r="45" spans="2:31" x14ac:dyDescent="0.25">
      <c r="B45" s="574" t="s">
        <v>451</v>
      </c>
      <c r="D45" s="597">
        <f>-PMT(Switchgrass_Budget!D57,Switchgrass_Budget!G57,'Detailed Cash Flow'!F115)</f>
        <v>5.4057866653011857</v>
      </c>
      <c r="E45" s="574" t="s">
        <v>450</v>
      </c>
      <c r="K45"/>
      <c r="L45"/>
      <c r="M45"/>
      <c r="N45"/>
      <c r="O45"/>
      <c r="P45"/>
      <c r="Q45"/>
      <c r="R45"/>
      <c r="S45"/>
      <c r="T45"/>
      <c r="U45"/>
      <c r="V45"/>
      <c r="W45"/>
      <c r="X45"/>
      <c r="Y45"/>
      <c r="Z45"/>
    </row>
    <row r="46" spans="2:31" x14ac:dyDescent="0.25">
      <c r="B46" s="574" t="s">
        <v>452</v>
      </c>
      <c r="D46" s="598">
        <f>D44/D45+0.01</f>
        <v>80.019152639035667</v>
      </c>
      <c r="E46" t="s">
        <v>453</v>
      </c>
      <c r="K46"/>
      <c r="L46"/>
      <c r="M46"/>
      <c r="N46"/>
      <c r="O46"/>
      <c r="P46"/>
      <c r="Q46"/>
      <c r="R46"/>
      <c r="S46"/>
      <c r="T46"/>
      <c r="U46"/>
      <c r="V46"/>
      <c r="W46"/>
      <c r="X46"/>
      <c r="Y46"/>
      <c r="Z46"/>
    </row>
    <row r="47" spans="2:31" x14ac:dyDescent="0.25">
      <c r="B47" s="574" t="s">
        <v>544</v>
      </c>
      <c r="D47" s="408">
        <f>(cornyld*cornpr-corncost)*Switchgrass_Key_Inputs!D16+(soyyld*soypr-soycost)*(1-Switchgrass_Key_Inputs!D16)</f>
        <v>17</v>
      </c>
      <c r="E47" t="str">
        <f>IF(D47="","","/acre")</f>
        <v>/acre</v>
      </c>
      <c r="K47"/>
      <c r="L47"/>
      <c r="M47"/>
      <c r="N47"/>
      <c r="O47"/>
      <c r="P47"/>
      <c r="Q47"/>
      <c r="R47"/>
      <c r="S47"/>
      <c r="T47"/>
      <c r="U47"/>
      <c r="V47"/>
      <c r="W47"/>
      <c r="X47"/>
      <c r="Y47"/>
      <c r="Z47"/>
    </row>
    <row r="48" spans="2:31" x14ac:dyDescent="0.25">
      <c r="B48" s="574" t="s">
        <v>545</v>
      </c>
      <c r="D48" s="598">
        <f>D46+alternet/D45</f>
        <v>83.163930828141815</v>
      </c>
      <c r="E48" t="s">
        <v>453</v>
      </c>
      <c r="K48"/>
      <c r="L48"/>
      <c r="M48"/>
      <c r="N48"/>
      <c r="O48"/>
      <c r="P48"/>
      <c r="Q48"/>
      <c r="R48"/>
      <c r="S48"/>
      <c r="T48"/>
      <c r="U48"/>
      <c r="V48"/>
      <c r="W48"/>
      <c r="X48"/>
      <c r="Y48"/>
      <c r="Z48"/>
    </row>
    <row r="49" spans="2:26" x14ac:dyDescent="0.25">
      <c r="C49"/>
      <c r="D49"/>
      <c r="K49"/>
      <c r="L49"/>
      <c r="M49"/>
      <c r="N49"/>
      <c r="O49"/>
      <c r="P49"/>
      <c r="Q49"/>
      <c r="R49"/>
      <c r="S49"/>
      <c r="T49"/>
      <c r="U49"/>
      <c r="V49"/>
      <c r="W49"/>
      <c r="X49"/>
      <c r="Y49"/>
      <c r="Z49"/>
    </row>
    <row r="50" spans="2:26" ht="30" x14ac:dyDescent="0.25">
      <c r="B50" s="424" t="s">
        <v>547</v>
      </c>
      <c r="C50" s="416" t="s">
        <v>433</v>
      </c>
      <c r="D50" s="416" t="s">
        <v>440</v>
      </c>
      <c r="E50" s="416" t="s">
        <v>441</v>
      </c>
      <c r="K50"/>
      <c r="L50"/>
      <c r="M50"/>
      <c r="N50"/>
      <c r="O50"/>
      <c r="P50"/>
      <c r="Q50"/>
      <c r="R50"/>
      <c r="S50"/>
      <c r="T50"/>
      <c r="U50"/>
      <c r="V50"/>
      <c r="W50"/>
      <c r="X50"/>
      <c r="Y50"/>
      <c r="Z50"/>
    </row>
    <row r="51" spans="2:26" x14ac:dyDescent="0.25">
      <c r="B51" t="str">
        <f>'Financial Inputs'!T125</f>
        <v>Electricity</v>
      </c>
      <c r="C51" s="412">
        <f>'Financial Inputs'!Y125</f>
        <v>222854.97417204006</v>
      </c>
      <c r="D51" s="412">
        <f>'Financial Inputs'!Z125</f>
        <v>258948.34388742479</v>
      </c>
      <c r="E51" s="412">
        <f t="shared" ref="E51:E62" si="1">D51-C51</f>
        <v>36093.369715384732</v>
      </c>
      <c r="K51"/>
      <c r="L51"/>
      <c r="M51"/>
      <c r="N51"/>
      <c r="O51"/>
      <c r="P51"/>
      <c r="Q51"/>
      <c r="R51"/>
      <c r="S51"/>
      <c r="T51"/>
      <c r="U51"/>
      <c r="V51"/>
      <c r="W51"/>
      <c r="X51"/>
      <c r="Y51"/>
      <c r="Z51"/>
    </row>
    <row r="52" spans="2:26" x14ac:dyDescent="0.25">
      <c r="B52" s="445" t="s">
        <v>567</v>
      </c>
      <c r="C52" s="412">
        <f>'Saved Scenarios'!D54</f>
        <v>182500</v>
      </c>
      <c r="D52" s="412">
        <f>C52</f>
        <v>182500</v>
      </c>
      <c r="E52" s="412">
        <f t="shared" si="1"/>
        <v>0</v>
      </c>
      <c r="K52"/>
      <c r="L52"/>
      <c r="M52"/>
      <c r="N52"/>
      <c r="O52"/>
      <c r="P52"/>
      <c r="Q52"/>
      <c r="R52"/>
      <c r="S52"/>
      <c r="T52"/>
      <c r="U52"/>
      <c r="V52"/>
      <c r="W52"/>
      <c r="X52"/>
      <c r="Y52"/>
      <c r="Z52"/>
    </row>
    <row r="53" spans="2:26" x14ac:dyDescent="0.25">
      <c r="B53" t="str">
        <f>'Financial Inputs'!T127</f>
        <v>Waste Heat</v>
      </c>
      <c r="C53" s="412">
        <f>'Financial Inputs'!Y127</f>
        <v>36642.069714665406</v>
      </c>
      <c r="D53" s="412">
        <f>'Financial Inputs'!Z127</f>
        <v>49472.24380274977</v>
      </c>
      <c r="E53" s="412">
        <f t="shared" si="1"/>
        <v>12830.174088084364</v>
      </c>
      <c r="K53"/>
      <c r="L53"/>
      <c r="M53"/>
      <c r="N53"/>
      <c r="O53"/>
      <c r="P53"/>
      <c r="Q53"/>
      <c r="R53"/>
      <c r="S53"/>
      <c r="T53"/>
      <c r="U53"/>
      <c r="V53"/>
      <c r="W53"/>
      <c r="X53"/>
      <c r="Y53"/>
      <c r="Z53"/>
    </row>
    <row r="54" spans="2:26" x14ac:dyDescent="0.25">
      <c r="B54" t="str">
        <f>'Financial Inputs'!T128</f>
        <v>Nutrient value</v>
      </c>
      <c r="C54" s="412">
        <f>'Financial Inputs'!Y128</f>
        <v>100469.85678579504</v>
      </c>
      <c r="D54" s="412">
        <f>'Financial Inputs'!Z128</f>
        <v>127231.47841531181</v>
      </c>
      <c r="E54" s="412">
        <f t="shared" si="1"/>
        <v>26761.621629516769</v>
      </c>
      <c r="K54"/>
      <c r="L54"/>
      <c r="M54"/>
      <c r="N54"/>
      <c r="O54"/>
      <c r="P54"/>
      <c r="Q54"/>
      <c r="R54"/>
      <c r="S54"/>
      <c r="T54"/>
      <c r="U54"/>
      <c r="V54"/>
      <c r="W54"/>
      <c r="X54"/>
      <c r="Y54"/>
      <c r="Z54"/>
    </row>
    <row r="55" spans="2:26" x14ac:dyDescent="0.25">
      <c r="B55" t="s">
        <v>439</v>
      </c>
      <c r="C55" s="412">
        <f>'Financial Inputs'!Y129</f>
        <v>73957.18309859166</v>
      </c>
      <c r="D55" s="412">
        <f>'Financial Inputs'!Z129</f>
        <v>158428.91793005992</v>
      </c>
      <c r="E55" s="412">
        <f t="shared" si="1"/>
        <v>84471.73483146826</v>
      </c>
      <c r="K55"/>
      <c r="L55"/>
      <c r="M55"/>
      <c r="N55"/>
      <c r="O55"/>
      <c r="P55"/>
      <c r="Q55"/>
      <c r="R55"/>
      <c r="S55"/>
      <c r="T55"/>
      <c r="U55"/>
      <c r="V55"/>
      <c r="W55"/>
      <c r="X55"/>
      <c r="Y55"/>
      <c r="Z55"/>
    </row>
    <row r="56" spans="2:26" x14ac:dyDescent="0.25">
      <c r="B56" t="str">
        <f>'Financial Inputs'!T130</f>
        <v>Govt incentives</v>
      </c>
      <c r="C56" s="412">
        <f>'Financial Inputs'!Y130</f>
        <v>48021.995987646791</v>
      </c>
      <c r="D56" s="412">
        <f>'Financial Inputs'!Z130</f>
        <v>55799.590641265808</v>
      </c>
      <c r="E56" s="412">
        <f t="shared" si="1"/>
        <v>7777.5946536190168</v>
      </c>
      <c r="K56"/>
      <c r="L56"/>
      <c r="M56"/>
      <c r="N56"/>
      <c r="O56"/>
      <c r="P56"/>
      <c r="Q56"/>
      <c r="R56"/>
      <c r="S56"/>
      <c r="T56"/>
      <c r="U56"/>
      <c r="V56"/>
      <c r="W56"/>
      <c r="X56"/>
      <c r="Y56"/>
      <c r="Z56"/>
    </row>
    <row r="57" spans="2:26" x14ac:dyDescent="0.25">
      <c r="B57" t="str">
        <f>'Financial Inputs'!T131</f>
        <v>O&amp;M</v>
      </c>
      <c r="C57" s="412">
        <f>'Financial Inputs'!Y131</f>
        <v>43463.890796624801</v>
      </c>
      <c r="D57" s="412">
        <f>'Financial Inputs'!Z131</f>
        <v>243113.13952253672</v>
      </c>
      <c r="E57" s="412">
        <f t="shared" si="1"/>
        <v>199649.24872591192</v>
      </c>
      <c r="K57"/>
      <c r="L57"/>
      <c r="M57"/>
      <c r="N57"/>
      <c r="O57"/>
      <c r="P57"/>
      <c r="Q57"/>
      <c r="R57"/>
      <c r="S57"/>
      <c r="T57"/>
      <c r="U57"/>
      <c r="V57"/>
      <c r="W57"/>
      <c r="X57"/>
      <c r="Y57"/>
      <c r="Z57"/>
    </row>
    <row r="58" spans="2:26" x14ac:dyDescent="0.25">
      <c r="B58" t="str">
        <f>'Financial Inputs'!T132</f>
        <v>Equip replace</v>
      </c>
      <c r="C58" s="412">
        <f>'Financial Inputs'!Y132</f>
        <v>34383.001442277258</v>
      </c>
      <c r="D58" s="412">
        <f>'Financial Inputs'!Z132</f>
        <v>39566.839417554052</v>
      </c>
      <c r="E58" s="412">
        <f t="shared" si="1"/>
        <v>5183.8379752767942</v>
      </c>
      <c r="K58"/>
      <c r="L58"/>
      <c r="M58"/>
      <c r="N58"/>
      <c r="O58"/>
      <c r="P58"/>
      <c r="Q58"/>
      <c r="R58"/>
      <c r="S58"/>
      <c r="T58"/>
      <c r="U58"/>
      <c r="V58"/>
      <c r="W58"/>
      <c r="X58"/>
      <c r="Y58"/>
      <c r="Z58"/>
    </row>
    <row r="59" spans="2:26" x14ac:dyDescent="0.25">
      <c r="B59" t="str">
        <f>'Financial Inputs'!T133</f>
        <v>Taxes</v>
      </c>
      <c r="C59" s="412">
        <f>'Financial Inputs'!Y133</f>
        <v>94453.418629777399</v>
      </c>
      <c r="D59" s="412">
        <f>'Financial Inputs'!Z133</f>
        <v>39982.598816580365</v>
      </c>
      <c r="E59" s="412">
        <f t="shared" si="1"/>
        <v>-54470.819813197035</v>
      </c>
      <c r="K59"/>
      <c r="L59"/>
      <c r="M59"/>
      <c r="N59"/>
      <c r="O59"/>
      <c r="P59"/>
      <c r="Q59"/>
      <c r="R59"/>
      <c r="S59"/>
      <c r="T59"/>
      <c r="U59"/>
      <c r="V59"/>
      <c r="W59"/>
      <c r="X59"/>
      <c r="Y59"/>
      <c r="Z59"/>
    </row>
    <row r="60" spans="2:26" x14ac:dyDescent="0.25">
      <c r="B60" t="s">
        <v>237</v>
      </c>
      <c r="C60" s="422">
        <f>'Financial Inputs'!Y122</f>
        <v>0.18678911454198399</v>
      </c>
      <c r="D60" s="422">
        <f>'Financial Inputs'!Z122</f>
        <v>0.1288255256694637</v>
      </c>
      <c r="E60" s="422">
        <f t="shared" si="1"/>
        <v>-5.7963588872520289E-2</v>
      </c>
      <c r="K60"/>
      <c r="L60"/>
      <c r="M60"/>
      <c r="N60"/>
      <c r="O60"/>
      <c r="P60"/>
      <c r="Q60"/>
      <c r="R60"/>
      <c r="S60"/>
      <c r="T60"/>
      <c r="U60"/>
      <c r="V60"/>
      <c r="W60"/>
      <c r="X60"/>
      <c r="Y60"/>
      <c r="Z60"/>
    </row>
    <row r="61" spans="2:26" x14ac:dyDescent="0.25">
      <c r="B61" t="str">
        <f>"Net present value @ "&amp;FIXED('Financial Inputs'!$P$156*100,2)&amp;"% (over defined useful life)"</f>
        <v>Net present value @ 10.00% (over defined useful life)</v>
      </c>
      <c r="C61" s="412">
        <f>'Financial Inputs'!Y123</f>
        <v>1347178.7742981208</v>
      </c>
      <c r="D61" s="412">
        <f>'Financial Inputs'!Z123</f>
        <v>484414.39860387892</v>
      </c>
      <c r="E61" s="412">
        <f t="shared" si="1"/>
        <v>-862764.37569424184</v>
      </c>
      <c r="K61"/>
      <c r="L61"/>
      <c r="M61"/>
      <c r="N61"/>
      <c r="O61"/>
      <c r="P61"/>
      <c r="Q61"/>
      <c r="R61"/>
      <c r="S61"/>
      <c r="T61"/>
      <c r="U61"/>
      <c r="V61"/>
      <c r="W61"/>
      <c r="X61"/>
      <c r="Y61"/>
      <c r="Z61"/>
    </row>
    <row r="62" spans="2:26" x14ac:dyDescent="0.25">
      <c r="B62" t="str">
        <f>"Annualized net present value @ "&amp;FIXED('Financial Inputs'!$P$156*100,2)&amp;"% (over defined useful life)"</f>
        <v>Annualized net present value @ 10.00% (over defined useful life)</v>
      </c>
      <c r="C62" s="412">
        <f>'Financial Inputs'!Y124</f>
        <v>138327.64309552425</v>
      </c>
      <c r="D62" s="412">
        <f>'Financial Inputs'!Z124</f>
        <v>49739.428291780685</v>
      </c>
      <c r="E62" s="412">
        <f t="shared" si="1"/>
        <v>-88588.214803743569</v>
      </c>
      <c r="K62"/>
      <c r="L62"/>
      <c r="M62"/>
      <c r="N62"/>
      <c r="O62"/>
      <c r="P62"/>
      <c r="Q62"/>
      <c r="R62"/>
      <c r="S62"/>
      <c r="T62"/>
      <c r="U62"/>
      <c r="V62"/>
      <c r="W62"/>
      <c r="X62"/>
      <c r="Y62"/>
      <c r="Z62"/>
    </row>
    <row r="63" spans="2:26" x14ac:dyDescent="0.25">
      <c r="K63"/>
      <c r="L63"/>
      <c r="M63"/>
      <c r="N63"/>
      <c r="O63"/>
      <c r="P63"/>
      <c r="Q63"/>
      <c r="R63"/>
      <c r="S63"/>
      <c r="T63"/>
      <c r="U63"/>
      <c r="V63"/>
      <c r="W63"/>
      <c r="X63"/>
      <c r="Y63"/>
      <c r="Z63"/>
    </row>
    <row r="64" spans="2:26" x14ac:dyDescent="0.25">
      <c r="B64" s="448" t="s">
        <v>333</v>
      </c>
      <c r="C64" s="429"/>
      <c r="D64"/>
      <c r="K64"/>
      <c r="L64"/>
      <c r="M64"/>
      <c r="N64"/>
      <c r="O64"/>
      <c r="P64"/>
      <c r="Q64"/>
      <c r="R64"/>
      <c r="S64"/>
      <c r="T64"/>
      <c r="U64"/>
      <c r="V64"/>
      <c r="W64"/>
      <c r="X64"/>
      <c r="Y64"/>
      <c r="Z64"/>
    </row>
    <row r="65" spans="2:4" x14ac:dyDescent="0.25">
      <c r="B65" s="445" t="s">
        <v>334</v>
      </c>
    </row>
    <row r="66" spans="2:4" x14ac:dyDescent="0.25">
      <c r="B66" s="445" t="s">
        <v>336</v>
      </c>
    </row>
    <row r="67" spans="2:4" x14ac:dyDescent="0.25">
      <c r="B67" s="445" t="s">
        <v>335</v>
      </c>
    </row>
    <row r="68" spans="2:4" x14ac:dyDescent="0.25">
      <c r="B68" s="445" t="s">
        <v>337</v>
      </c>
    </row>
    <row r="69" spans="2:4" x14ac:dyDescent="0.25">
      <c r="B69" s="445" t="s">
        <v>338</v>
      </c>
    </row>
    <row r="70" spans="2:4" x14ac:dyDescent="0.25">
      <c r="B70" s="445" t="s">
        <v>339</v>
      </c>
      <c r="C70" s="595"/>
      <c r="D70"/>
    </row>
    <row r="71" spans="2:4" x14ac:dyDescent="0.25">
      <c r="B71" s="445" t="s">
        <v>340</v>
      </c>
    </row>
    <row r="72" spans="2:4" x14ac:dyDescent="0.25">
      <c r="B72" s="445" t="s">
        <v>341</v>
      </c>
    </row>
    <row r="73" spans="2:4" x14ac:dyDescent="0.25">
      <c r="B73" s="445" t="s">
        <v>343</v>
      </c>
    </row>
    <row r="74" spans="2:4" x14ac:dyDescent="0.25">
      <c r="B74" s="445" t="s">
        <v>344</v>
      </c>
    </row>
    <row r="75" spans="2:4" x14ac:dyDescent="0.25">
      <c r="B75" s="445" t="s">
        <v>346</v>
      </c>
    </row>
    <row r="87" spans="2:3" x14ac:dyDescent="0.25">
      <c r="B87" s="452" t="s">
        <v>639</v>
      </c>
      <c r="C87" s="452"/>
    </row>
    <row r="88" spans="2:3" x14ac:dyDescent="0.25">
      <c r="B88" s="452" t="str">
        <f>'Key inputs &amp; Outputs'!D14</f>
        <v>Include warm season grasses in the analysis?</v>
      </c>
      <c r="C88" s="789" t="str">
        <f ca="1">CELL("address",'Key inputs &amp; Outputs'!F14)</f>
        <v>'[psu040224.xlsx]Key inputs &amp; Outputs'!$F$14</v>
      </c>
    </row>
    <row r="89" spans="2:3" x14ac:dyDescent="0.25">
      <c r="B89" s="452" t="str">
        <f>'Key inputs &amp; Outputs'!D15</f>
        <v>Acres of grass or vegetation to be digested</v>
      </c>
      <c r="C89" s="789" t="str">
        <f ca="1">CELL("address",'Key inputs &amp; Outputs'!F15)</f>
        <v>'[psu040224.xlsx]Key inputs &amp; Outputs'!$F$15</v>
      </c>
    </row>
    <row r="90" spans="2:3" x14ac:dyDescent="0.25">
      <c r="B90" s="452" t="e">
        <f>#REF!</f>
        <v>#REF!</v>
      </c>
      <c r="C90" s="789" t="str">
        <f ca="1">CELL("address",'Financial Inputs'!G26)</f>
        <v>'[psu040224.xlsx]Financial Inputs'!$G$26</v>
      </c>
    </row>
    <row r="91" spans="2:3" x14ac:dyDescent="0.25">
      <c r="B91" s="452" t="s">
        <v>633</v>
      </c>
      <c r="C91" s="789" t="str">
        <f ca="1">CELL("address",'Nutrient Inputs'!D44)</f>
        <v>'[psu040224.xlsx]Nutrient Inputs'!$D$44</v>
      </c>
    </row>
    <row r="92" spans="2:3" x14ac:dyDescent="0.25">
      <c r="B92" s="452" t="s">
        <v>634</v>
      </c>
      <c r="C92" s="789" t="str">
        <f ca="1">CELL("address",'Nutrient Inputs'!E44)</f>
        <v>'[psu040224.xlsx]Nutrient Inputs'!$E$44</v>
      </c>
    </row>
    <row r="93" spans="2:3" x14ac:dyDescent="0.25">
      <c r="B93" s="452" t="s">
        <v>531</v>
      </c>
      <c r="C93" s="789" t="str">
        <f ca="1">CELL("address",'Nutrient Inputs'!G44)</f>
        <v>'[psu040224.xlsx]Nutrient Inputs'!$G$44</v>
      </c>
    </row>
    <row r="94" spans="2:3" x14ac:dyDescent="0.25">
      <c r="B94" s="452" t="s">
        <v>532</v>
      </c>
      <c r="C94" s="789" t="str">
        <f ca="1">CELL("address",'Nutrient Inputs'!H44)</f>
        <v>'[psu040224.xlsx]Nutrient Inputs'!$H$44</v>
      </c>
    </row>
  </sheetData>
  <sheetProtection sheet="1" objects="1" scenarios="1"/>
  <protectedRanges>
    <protectedRange sqref="C51:E59" name="InputsOutputs_1"/>
    <protectedRange sqref="C60:E62" name="InputsOutputs_2"/>
    <protectedRange sqref="D40 E36:E39" name="InputsOutputs_3"/>
  </protectedRanges>
  <mergeCells count="1">
    <mergeCell ref="B2:J2"/>
  </mergeCells>
  <conditionalFormatting sqref="D17:E21">
    <cfRule type="expression" dxfId="24" priority="8">
      <formula>$D$16=1</formula>
    </cfRule>
  </conditionalFormatting>
  <dataValidations count="2">
    <dataValidation type="list" allowBlank="1" showInputMessage="1" showErrorMessage="1" sqref="D9" xr:uid="{EDDF243A-9805-4BC6-98A2-3B2A584CC8B8}">
      <formula1>"No,Yes"</formula1>
    </dataValidation>
    <dataValidation type="list" allowBlank="1" showInputMessage="1" showErrorMessage="1" sqref="C14 D19" xr:uid="{406F23E1-8A9F-431A-96B5-F9AF95E2A3AC}">
      <formula1>"bushels, animal units, $"</formula1>
    </dataValidation>
  </dataValidations>
  <pageMargins left="0.7" right="0.7" top="0.75" bottom="0.75" header="0.3" footer="0.3"/>
  <pageSetup orientation="portrait" horizontalDpi="0" verticalDpi="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D726277-C10F-4DA9-8479-ACD211AB2233}">
          <x14:formula1>
            <xm:f>Workspace!$D$3:$D$18</xm:f>
          </x14:formula1>
          <xm:sqref>D24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1BB57-C553-482B-B2FD-D0049606426F}">
  <sheetPr codeName="Sheet2">
    <tabColor rgb="FF00B050"/>
  </sheetPr>
  <dimension ref="B1:S61"/>
  <sheetViews>
    <sheetView workbookViewId="0"/>
  </sheetViews>
  <sheetFormatPr defaultRowHeight="15" x14ac:dyDescent="0.25"/>
  <cols>
    <col min="2" max="2" width="61.28515625" customWidth="1"/>
    <col min="3" max="3" width="12.85546875" bestFit="1" customWidth="1"/>
    <col min="4" max="4" width="14.5703125" bestFit="1" customWidth="1"/>
    <col min="5" max="5" width="2.7109375" customWidth="1"/>
    <col min="6" max="6" width="6" customWidth="1"/>
    <col min="7" max="7" width="18.5703125" customWidth="1"/>
    <col min="8" max="8" width="15.7109375" customWidth="1"/>
    <col min="9" max="9" width="1.7109375" customWidth="1"/>
    <col min="10" max="10" width="6.140625" customWidth="1"/>
    <col min="11" max="11" width="15.42578125" customWidth="1"/>
    <col min="12" max="12" width="15.28515625" customWidth="1"/>
    <col min="13" max="13" width="1.7109375" customWidth="1"/>
    <col min="14" max="14" width="10" customWidth="1"/>
    <col min="15" max="18" width="11.7109375" customWidth="1"/>
  </cols>
  <sheetData>
    <row r="1" spans="2:19" ht="22.5" x14ac:dyDescent="0.3">
      <c r="B1" s="1159" t="s">
        <v>457</v>
      </c>
      <c r="C1" s="1159"/>
      <c r="D1" s="1159"/>
      <c r="E1" s="1159"/>
      <c r="F1" s="1159"/>
      <c r="G1" s="1159"/>
      <c r="H1" s="1159"/>
      <c r="I1" s="1159"/>
      <c r="J1" s="1159"/>
      <c r="K1" s="1159"/>
      <c r="L1" s="1159"/>
      <c r="M1" s="1159"/>
      <c r="N1" s="1159"/>
      <c r="O1" s="1159"/>
      <c r="P1" s="1159"/>
      <c r="Q1" s="1159"/>
      <c r="R1" s="1159"/>
    </row>
    <row r="2" spans="2:19" ht="22.5" x14ac:dyDescent="0.3">
      <c r="B2" s="492"/>
      <c r="C2" s="493"/>
      <c r="D2" s="494"/>
      <c r="E2" s="494"/>
      <c r="F2" s="494"/>
      <c r="G2" s="494"/>
      <c r="H2" s="494"/>
      <c r="I2" s="494"/>
      <c r="J2" s="494"/>
      <c r="K2" s="494"/>
      <c r="L2" s="493"/>
      <c r="M2" s="493"/>
      <c r="N2" s="493"/>
      <c r="O2" s="493"/>
      <c r="P2" s="493"/>
      <c r="Q2" s="493"/>
      <c r="R2" s="493"/>
    </row>
    <row r="3" spans="2:19" ht="15.75" x14ac:dyDescent="0.25">
      <c r="B3" s="495" t="s">
        <v>458</v>
      </c>
      <c r="C3" s="496"/>
      <c r="D3" s="497"/>
      <c r="E3" s="497"/>
      <c r="F3" s="497"/>
      <c r="G3" s="496"/>
      <c r="H3" s="493"/>
      <c r="I3" s="493"/>
      <c r="J3" s="493"/>
      <c r="K3" s="493"/>
      <c r="L3" s="493"/>
      <c r="M3" s="493"/>
      <c r="N3" s="493"/>
      <c r="O3" s="493"/>
      <c r="P3" s="493"/>
      <c r="Q3" s="493"/>
      <c r="R3" s="493"/>
    </row>
    <row r="4" spans="2:19" ht="15.75" x14ac:dyDescent="0.25">
      <c r="B4" s="498" t="s">
        <v>459</v>
      </c>
      <c r="C4" s="499">
        <f>Switchgrass_Key_Inputs!D27</f>
        <v>6</v>
      </c>
      <c r="D4" s="500"/>
      <c r="E4" s="501"/>
      <c r="F4" s="501"/>
      <c r="G4" s="502"/>
      <c r="H4" s="501"/>
      <c r="I4" s="501"/>
      <c r="J4" s="501"/>
      <c r="K4" s="500"/>
      <c r="L4" s="503"/>
      <c r="M4" s="503"/>
      <c r="N4" s="503"/>
      <c r="O4" s="494"/>
      <c r="P4" s="494"/>
      <c r="Q4" s="500"/>
      <c r="R4" s="501"/>
    </row>
    <row r="5" spans="2:19" ht="15.75" x14ac:dyDescent="0.25">
      <c r="B5" s="498" t="s">
        <v>460</v>
      </c>
      <c r="C5" s="504">
        <f>IF(Switchgrass_Key_Inputs!D29="",1500,Switchgrass_Key_Inputs!D29)</f>
        <v>1250</v>
      </c>
      <c r="D5" s="500"/>
      <c r="E5" s="501"/>
      <c r="F5" s="501"/>
      <c r="G5" s="502"/>
      <c r="H5" s="501"/>
      <c r="I5" s="501"/>
      <c r="J5" s="501"/>
      <c r="K5" s="500"/>
      <c r="L5" s="494"/>
      <c r="M5" s="494"/>
      <c r="N5" s="494"/>
      <c r="O5" s="494"/>
      <c r="P5" s="494"/>
      <c r="Q5" s="500"/>
      <c r="R5" s="501"/>
    </row>
    <row r="6" spans="2:19" ht="15.75" x14ac:dyDescent="0.25">
      <c r="B6" s="498" t="s">
        <v>461</v>
      </c>
      <c r="C6" s="499">
        <f>Switchgrass_Key_Inputs!D24</f>
        <v>10</v>
      </c>
      <c r="D6" s="500"/>
      <c r="E6" s="501"/>
      <c r="F6" s="501"/>
      <c r="G6" s="502"/>
      <c r="H6" s="501"/>
      <c r="I6" s="501"/>
      <c r="J6" s="501"/>
      <c r="K6" s="500"/>
      <c r="L6" s="494"/>
      <c r="M6" s="494"/>
      <c r="N6" s="494"/>
      <c r="O6" s="494"/>
      <c r="P6" s="494"/>
      <c r="Q6" s="500"/>
      <c r="R6" s="501"/>
    </row>
    <row r="7" spans="2:19" ht="15.75" x14ac:dyDescent="0.25">
      <c r="B7" s="505" t="s">
        <v>462</v>
      </c>
      <c r="C7" s="506">
        <f>ROUND(2000*C4/C5,1)</f>
        <v>9.6</v>
      </c>
      <c r="D7" s="507"/>
      <c r="E7" s="507"/>
      <c r="F7" s="507"/>
      <c r="G7" s="508"/>
      <c r="H7" s="501"/>
      <c r="I7" s="501"/>
      <c r="J7" s="501"/>
      <c r="K7" s="500"/>
      <c r="L7" s="494"/>
      <c r="M7" s="494"/>
      <c r="N7" s="494"/>
      <c r="O7" s="494"/>
      <c r="P7" s="494"/>
      <c r="Q7" s="500"/>
      <c r="R7" s="501"/>
    </row>
    <row r="8" spans="2:19" ht="15.75" x14ac:dyDescent="0.25">
      <c r="B8" s="509"/>
      <c r="C8" s="509"/>
      <c r="D8" s="501"/>
      <c r="E8" s="501"/>
      <c r="F8" s="501"/>
      <c r="G8" s="501"/>
      <c r="H8" s="501"/>
      <c r="I8" s="501"/>
      <c r="J8" s="501"/>
      <c r="K8" s="500"/>
      <c r="L8" s="494"/>
      <c r="M8" s="494"/>
      <c r="N8" s="494"/>
      <c r="O8" s="494"/>
      <c r="P8" s="494"/>
      <c r="Q8" s="500"/>
      <c r="R8" s="501"/>
    </row>
    <row r="9" spans="2:19" ht="15.75" x14ac:dyDescent="0.25">
      <c r="B9" s="510" t="s">
        <v>463</v>
      </c>
      <c r="C9" s="511"/>
      <c r="D9" s="511"/>
      <c r="E9" s="511"/>
      <c r="F9" s="511"/>
      <c r="G9" s="511"/>
      <c r="H9" s="511"/>
      <c r="I9" s="511"/>
      <c r="J9" s="511"/>
      <c r="K9" s="511"/>
      <c r="L9" s="511"/>
      <c r="M9" s="511"/>
      <c r="N9" s="511"/>
      <c r="O9" s="511"/>
      <c r="P9" s="493"/>
      <c r="Q9" s="493"/>
      <c r="R9" s="493"/>
    </row>
    <row r="10" spans="2:19" ht="78.75" x14ac:dyDescent="0.25">
      <c r="B10" s="512"/>
      <c r="C10" s="512"/>
      <c r="D10" s="513" t="s">
        <v>464</v>
      </c>
      <c r="E10" s="514"/>
      <c r="F10" s="514"/>
      <c r="G10" s="513" t="s">
        <v>465</v>
      </c>
      <c r="H10" s="513" t="s">
        <v>466</v>
      </c>
      <c r="I10" s="514"/>
      <c r="J10" s="514"/>
      <c r="K10" s="513" t="s">
        <v>467</v>
      </c>
      <c r="L10" s="513" t="s">
        <v>468</v>
      </c>
      <c r="M10" s="513"/>
      <c r="N10" s="513"/>
      <c r="O10" s="513" t="s">
        <v>469</v>
      </c>
      <c r="P10" s="513" t="s">
        <v>470</v>
      </c>
      <c r="Q10" s="513" t="str">
        <f>"Units in Full Production Years 3 - "&amp;C6</f>
        <v>Units in Full Production Years 3 - 10</v>
      </c>
      <c r="R10" s="513" t="str">
        <f>"Costs in Full Production Years 3 - "&amp;C6</f>
        <v>Costs in Full Production Years 3 - 10</v>
      </c>
      <c r="S10" t="s">
        <v>827</v>
      </c>
    </row>
    <row r="11" spans="2:19" ht="15.75" x14ac:dyDescent="0.25">
      <c r="B11" s="512" t="s">
        <v>472</v>
      </c>
      <c r="C11" s="512"/>
      <c r="D11" s="519"/>
      <c r="E11" s="515"/>
      <c r="F11" s="1160"/>
      <c r="G11" s="518"/>
      <c r="H11" s="501"/>
      <c r="I11" s="515"/>
      <c r="J11" s="1160"/>
      <c r="K11" s="518"/>
      <c r="L11" s="501"/>
      <c r="M11" s="501"/>
      <c r="N11" s="1160"/>
      <c r="O11" s="518"/>
      <c r="P11" s="501"/>
      <c r="Q11" s="518"/>
      <c r="R11" s="501"/>
    </row>
    <row r="12" spans="2:19" ht="15.75" x14ac:dyDescent="0.25">
      <c r="B12" s="520" t="s">
        <v>473</v>
      </c>
      <c r="C12" s="512" t="s">
        <v>474</v>
      </c>
      <c r="D12" s="521">
        <v>24</v>
      </c>
      <c r="E12" s="515"/>
      <c r="F12" s="1160"/>
      <c r="G12" s="522">
        <v>0</v>
      </c>
      <c r="H12" s="515">
        <f t="shared" ref="H12:H16" si="0">G12*$D12</f>
        <v>0</v>
      </c>
      <c r="I12" s="515"/>
      <c r="J12" s="1160"/>
      <c r="K12" s="522">
        <v>0</v>
      </c>
      <c r="L12" s="515">
        <f t="shared" ref="L12:P16" si="1">K12*$D12</f>
        <v>0</v>
      </c>
      <c r="M12" s="515"/>
      <c r="N12" s="1160"/>
      <c r="O12" s="522">
        <v>0</v>
      </c>
      <c r="P12" s="515">
        <f t="shared" si="1"/>
        <v>0</v>
      </c>
      <c r="Q12" s="522">
        <v>0</v>
      </c>
      <c r="R12" s="515">
        <f t="shared" ref="R12:R16" si="2">Q12*$D12</f>
        <v>0</v>
      </c>
    </row>
    <row r="13" spans="2:19" ht="15.75" x14ac:dyDescent="0.25">
      <c r="B13" s="523" t="s">
        <v>475</v>
      </c>
      <c r="C13" s="512" t="s">
        <v>474</v>
      </c>
      <c r="D13" s="521">
        <v>16.2</v>
      </c>
      <c r="E13" s="515"/>
      <c r="F13" s="1160"/>
      <c r="G13" s="522">
        <v>0</v>
      </c>
      <c r="H13" s="515">
        <f t="shared" si="0"/>
        <v>0</v>
      </c>
      <c r="I13" s="515"/>
      <c r="J13" s="1160"/>
      <c r="K13" s="522">
        <v>1</v>
      </c>
      <c r="L13" s="515">
        <f t="shared" si="1"/>
        <v>16.2</v>
      </c>
      <c r="M13" s="515"/>
      <c r="N13" s="1160"/>
      <c r="O13" s="522">
        <v>0</v>
      </c>
      <c r="P13" s="515">
        <f t="shared" si="1"/>
        <v>0</v>
      </c>
      <c r="Q13" s="522">
        <v>0</v>
      </c>
      <c r="R13" s="515">
        <f t="shared" si="2"/>
        <v>0</v>
      </c>
    </row>
    <row r="14" spans="2:19" ht="15.75" x14ac:dyDescent="0.25">
      <c r="B14" s="523" t="s">
        <v>476</v>
      </c>
      <c r="C14" s="512" t="s">
        <v>474</v>
      </c>
      <c r="D14" s="521">
        <v>15.65</v>
      </c>
      <c r="E14" s="515"/>
      <c r="F14" s="1160"/>
      <c r="G14" s="522">
        <v>0</v>
      </c>
      <c r="H14" s="515">
        <f t="shared" si="0"/>
        <v>0</v>
      </c>
      <c r="I14" s="515"/>
      <c r="J14" s="1160"/>
      <c r="K14" s="522">
        <v>2</v>
      </c>
      <c r="L14" s="515">
        <f t="shared" si="1"/>
        <v>31.3</v>
      </c>
      <c r="M14" s="515"/>
      <c r="N14" s="1160"/>
      <c r="O14" s="522">
        <v>0</v>
      </c>
      <c r="P14" s="515">
        <f t="shared" si="1"/>
        <v>0</v>
      </c>
      <c r="Q14" s="522">
        <v>0</v>
      </c>
      <c r="R14" s="515">
        <f t="shared" si="2"/>
        <v>0</v>
      </c>
    </row>
    <row r="15" spans="2:19" ht="15.75" x14ac:dyDescent="0.25">
      <c r="B15" s="523" t="s">
        <v>477</v>
      </c>
      <c r="C15" s="512" t="s">
        <v>471</v>
      </c>
      <c r="D15" s="524">
        <v>0</v>
      </c>
      <c r="E15" s="525"/>
      <c r="F15" s="1160"/>
      <c r="G15" s="522">
        <v>1</v>
      </c>
      <c r="H15" s="515">
        <f t="shared" si="0"/>
        <v>0</v>
      </c>
      <c r="I15" s="525"/>
      <c r="J15" s="1160"/>
      <c r="K15" s="522">
        <v>0</v>
      </c>
      <c r="L15" s="515">
        <f t="shared" si="1"/>
        <v>0</v>
      </c>
      <c r="M15" s="515"/>
      <c r="N15" s="1160"/>
      <c r="O15" s="522">
        <v>0</v>
      </c>
      <c r="P15" s="515">
        <f t="shared" si="1"/>
        <v>0</v>
      </c>
      <c r="Q15" s="522">
        <v>0</v>
      </c>
      <c r="R15" s="515">
        <f t="shared" si="2"/>
        <v>0</v>
      </c>
    </row>
    <row r="16" spans="2:19" ht="15.75" x14ac:dyDescent="0.25">
      <c r="B16" s="523" t="s">
        <v>478</v>
      </c>
      <c r="C16" s="512" t="s">
        <v>471</v>
      </c>
      <c r="D16" s="524">
        <v>31.39</v>
      </c>
      <c r="E16" s="525"/>
      <c r="F16" s="1160"/>
      <c r="G16" s="522">
        <v>1</v>
      </c>
      <c r="H16" s="526">
        <f t="shared" si="0"/>
        <v>31.39</v>
      </c>
      <c r="I16" s="525"/>
      <c r="J16" s="1160"/>
      <c r="K16" s="522">
        <v>0</v>
      </c>
      <c r="L16" s="526">
        <f t="shared" si="1"/>
        <v>0</v>
      </c>
      <c r="M16" s="515"/>
      <c r="N16" s="1160"/>
      <c r="O16" s="522">
        <v>0</v>
      </c>
      <c r="P16" s="526">
        <f t="shared" si="1"/>
        <v>0</v>
      </c>
      <c r="Q16" s="522">
        <v>0</v>
      </c>
      <c r="R16" s="526">
        <f t="shared" si="2"/>
        <v>0</v>
      </c>
    </row>
    <row r="17" spans="2:19" ht="15.75" x14ac:dyDescent="0.25">
      <c r="B17" s="500" t="s">
        <v>479</v>
      </c>
      <c r="C17" s="512"/>
      <c r="D17" s="527"/>
      <c r="E17" s="525"/>
      <c r="F17" s="1160"/>
      <c r="G17" s="518"/>
      <c r="H17" s="517">
        <f>H12+H13+H14+H15+H16</f>
        <v>31.39</v>
      </c>
      <c r="I17" s="525"/>
      <c r="J17" s="1160"/>
      <c r="K17" s="518"/>
      <c r="L17" s="517">
        <f>L12+L13+L14+L15+L16</f>
        <v>47.5</v>
      </c>
      <c r="M17" s="517"/>
      <c r="N17" s="1160"/>
      <c r="O17" s="518"/>
      <c r="P17" s="517">
        <f>P12+P13+P14+P15+P16</f>
        <v>0</v>
      </c>
      <c r="Q17" s="518"/>
      <c r="R17" s="517">
        <f>R12+R13+R14+R15+R16</f>
        <v>0</v>
      </c>
    </row>
    <row r="18" spans="2:19" ht="15.75" x14ac:dyDescent="0.25">
      <c r="B18" s="500"/>
      <c r="C18" s="512"/>
      <c r="D18" s="527"/>
      <c r="E18" s="525"/>
      <c r="F18" s="1160"/>
      <c r="G18" s="518"/>
      <c r="H18" s="517"/>
      <c r="I18" s="525"/>
      <c r="J18" s="1160"/>
      <c r="K18" s="518"/>
      <c r="L18" s="517"/>
      <c r="M18" s="517"/>
      <c r="N18" s="1160"/>
      <c r="O18" s="518"/>
      <c r="P18" s="517"/>
      <c r="Q18" s="518"/>
      <c r="R18" s="517"/>
    </row>
    <row r="19" spans="2:19" ht="15.75" x14ac:dyDescent="0.25">
      <c r="B19" s="512" t="s">
        <v>480</v>
      </c>
      <c r="C19" s="512"/>
      <c r="D19" s="528"/>
      <c r="E19" s="517"/>
      <c r="F19" s="1160"/>
      <c r="G19" s="529"/>
      <c r="H19" s="517"/>
      <c r="I19" s="517"/>
      <c r="J19" s="1160"/>
      <c r="K19" s="529"/>
      <c r="L19" s="517"/>
      <c r="M19" s="517"/>
      <c r="N19" s="1160"/>
      <c r="O19" s="529"/>
      <c r="P19" s="517"/>
      <c r="Q19" s="518"/>
      <c r="R19" s="517"/>
    </row>
    <row r="20" spans="2:19" ht="15.75" x14ac:dyDescent="0.25">
      <c r="B20" s="523" t="s">
        <v>475</v>
      </c>
      <c r="C20" s="512" t="s">
        <v>474</v>
      </c>
      <c r="D20" s="521">
        <v>14.2</v>
      </c>
      <c r="E20" s="515"/>
      <c r="F20" s="1160"/>
      <c r="G20" s="522">
        <v>0</v>
      </c>
      <c r="H20" s="515">
        <f t="shared" ref="H20:H24" si="3">G20*$D20</f>
        <v>0</v>
      </c>
      <c r="I20" s="515"/>
      <c r="J20" s="1160"/>
      <c r="K20" s="522">
        <v>0</v>
      </c>
      <c r="L20" s="515">
        <f t="shared" ref="L20:P24" si="4">K20*$D20</f>
        <v>0</v>
      </c>
      <c r="M20" s="515"/>
      <c r="N20" s="1160"/>
      <c r="O20" s="522">
        <v>0</v>
      </c>
      <c r="P20" s="515">
        <f t="shared" si="4"/>
        <v>0</v>
      </c>
      <c r="Q20" s="522">
        <v>0</v>
      </c>
      <c r="R20" s="515">
        <f t="shared" ref="R20:R24" si="5">Q20*$D20</f>
        <v>0</v>
      </c>
    </row>
    <row r="21" spans="2:19" ht="15.75" x14ac:dyDescent="0.25">
      <c r="B21" s="523" t="s">
        <v>476</v>
      </c>
      <c r="C21" s="512" t="s">
        <v>474</v>
      </c>
      <c r="D21" s="521">
        <v>14.6</v>
      </c>
      <c r="E21" s="515"/>
      <c r="F21" s="1160"/>
      <c r="G21" s="522">
        <v>0</v>
      </c>
      <c r="H21" s="515">
        <f t="shared" si="3"/>
        <v>0</v>
      </c>
      <c r="I21" s="515"/>
      <c r="J21" s="1160"/>
      <c r="K21" s="522">
        <v>0</v>
      </c>
      <c r="L21" s="515">
        <f t="shared" si="4"/>
        <v>0</v>
      </c>
      <c r="M21" s="515"/>
      <c r="N21" s="1160"/>
      <c r="O21" s="522">
        <v>0</v>
      </c>
      <c r="P21" s="515">
        <f t="shared" si="4"/>
        <v>0</v>
      </c>
      <c r="Q21" s="522">
        <v>0</v>
      </c>
      <c r="R21" s="515">
        <f t="shared" si="5"/>
        <v>0</v>
      </c>
    </row>
    <row r="22" spans="2:19" ht="15.75" x14ac:dyDescent="0.25">
      <c r="B22" s="523" t="s">
        <v>481</v>
      </c>
      <c r="C22" s="512" t="s">
        <v>474</v>
      </c>
      <c r="D22" s="521">
        <v>6.15</v>
      </c>
      <c r="E22" s="515"/>
      <c r="F22" s="1160"/>
      <c r="G22" s="522">
        <v>1</v>
      </c>
      <c r="H22" s="515">
        <f t="shared" si="3"/>
        <v>6.15</v>
      </c>
      <c r="I22" s="515"/>
      <c r="J22" s="1160"/>
      <c r="K22" s="522">
        <v>0</v>
      </c>
      <c r="L22" s="515">
        <f t="shared" si="4"/>
        <v>0</v>
      </c>
      <c r="M22" s="515"/>
      <c r="N22" s="1160"/>
      <c r="O22" s="522">
        <v>1</v>
      </c>
      <c r="P22" s="515">
        <f t="shared" si="4"/>
        <v>6.15</v>
      </c>
      <c r="Q22" s="522">
        <v>1</v>
      </c>
      <c r="R22" s="515">
        <f t="shared" si="5"/>
        <v>6.15</v>
      </c>
    </row>
    <row r="23" spans="2:19" ht="15.75" x14ac:dyDescent="0.25">
      <c r="B23" s="523" t="s">
        <v>482</v>
      </c>
      <c r="C23" s="512" t="s">
        <v>474</v>
      </c>
      <c r="D23" s="521">
        <v>7.8</v>
      </c>
      <c r="E23" s="515"/>
      <c r="F23" s="1160"/>
      <c r="G23" s="530">
        <v>0</v>
      </c>
      <c r="H23" s="515">
        <f t="shared" si="3"/>
        <v>0</v>
      </c>
      <c r="I23" s="515"/>
      <c r="J23" s="1160"/>
      <c r="K23" s="530">
        <v>2</v>
      </c>
      <c r="L23" s="515">
        <f t="shared" si="4"/>
        <v>15.6</v>
      </c>
      <c r="M23" s="515"/>
      <c r="N23" s="1160"/>
      <c r="O23" s="530">
        <v>1</v>
      </c>
      <c r="P23" s="515">
        <f t="shared" si="4"/>
        <v>7.8</v>
      </c>
      <c r="Q23" s="530">
        <v>1</v>
      </c>
      <c r="R23" s="515">
        <f t="shared" si="5"/>
        <v>7.8</v>
      </c>
    </row>
    <row r="24" spans="2:19" ht="15.75" x14ac:dyDescent="0.25">
      <c r="B24" s="523" t="s">
        <v>483</v>
      </c>
      <c r="C24" s="531" t="s">
        <v>474</v>
      </c>
      <c r="D24" s="521">
        <v>18.899999999999999</v>
      </c>
      <c r="E24" s="515"/>
      <c r="F24" s="1160"/>
      <c r="G24" s="522">
        <v>0</v>
      </c>
      <c r="H24" s="515">
        <f t="shared" si="3"/>
        <v>0</v>
      </c>
      <c r="I24" s="515"/>
      <c r="J24" s="1160"/>
      <c r="K24" s="522">
        <v>1</v>
      </c>
      <c r="L24" s="515">
        <f t="shared" si="4"/>
        <v>18.899999999999999</v>
      </c>
      <c r="M24" s="515"/>
      <c r="N24" s="1160"/>
      <c r="O24" s="522">
        <v>1</v>
      </c>
      <c r="P24" s="515">
        <f t="shared" si="4"/>
        <v>18.899999999999999</v>
      </c>
      <c r="Q24" s="522">
        <v>0</v>
      </c>
      <c r="R24" s="515">
        <f t="shared" si="5"/>
        <v>0</v>
      </c>
    </row>
    <row r="25" spans="2:19" ht="15.75" x14ac:dyDescent="0.25">
      <c r="B25" s="531" t="s">
        <v>484</v>
      </c>
      <c r="C25" s="531"/>
      <c r="D25" s="532"/>
      <c r="E25" s="501"/>
      <c r="F25" s="1160"/>
      <c r="G25" s="518"/>
      <c r="H25" s="517">
        <f>SUM(H20:H24)</f>
        <v>6.15</v>
      </c>
      <c r="I25" s="501"/>
      <c r="J25" s="1160"/>
      <c r="K25" s="518"/>
      <c r="L25" s="517">
        <f>SUM(L20:L24)</f>
        <v>34.5</v>
      </c>
      <c r="M25" s="517"/>
      <c r="N25" s="1160"/>
      <c r="O25" s="528"/>
      <c r="P25" s="517">
        <f>SUM(P20:P24)</f>
        <v>32.849999999999994</v>
      </c>
      <c r="Q25" s="528"/>
      <c r="R25" s="517">
        <f>SUM(R20:R24)</f>
        <v>13.95</v>
      </c>
    </row>
    <row r="26" spans="2:19" ht="15.75" x14ac:dyDescent="0.25">
      <c r="B26" s="531"/>
      <c r="C26" s="531"/>
      <c r="D26" s="532"/>
      <c r="E26" s="501"/>
      <c r="F26" s="1160"/>
      <c r="G26" s="518"/>
      <c r="H26" s="517"/>
      <c r="I26" s="501"/>
      <c r="J26" s="1160"/>
      <c r="K26" s="518"/>
      <c r="L26" s="517"/>
      <c r="M26" s="517"/>
      <c r="N26" s="1160"/>
      <c r="O26" s="528"/>
      <c r="P26" s="517"/>
      <c r="Q26" s="528"/>
      <c r="R26" s="517"/>
    </row>
    <row r="27" spans="2:19" ht="15.75" x14ac:dyDescent="0.25">
      <c r="B27" s="531" t="s">
        <v>8</v>
      </c>
      <c r="C27" s="531"/>
      <c r="D27" s="533"/>
      <c r="E27" s="514"/>
      <c r="F27" s="1160"/>
      <c r="G27" s="529"/>
      <c r="H27" s="517"/>
      <c r="I27" s="514"/>
      <c r="J27" s="1160"/>
      <c r="K27" s="529"/>
      <c r="L27" s="517"/>
      <c r="M27" s="517"/>
      <c r="N27" s="1160"/>
      <c r="O27" s="529"/>
      <c r="P27" s="517"/>
      <c r="Q27" s="529"/>
      <c r="R27" s="517"/>
    </row>
    <row r="28" spans="2:19" ht="15.75" x14ac:dyDescent="0.25">
      <c r="B28" s="523" t="s">
        <v>485</v>
      </c>
      <c r="C28" s="531" t="s">
        <v>486</v>
      </c>
      <c r="D28" s="521">
        <v>19</v>
      </c>
      <c r="E28" s="515"/>
      <c r="F28" s="1160"/>
      <c r="G28" s="522">
        <v>0</v>
      </c>
      <c r="H28" s="515">
        <f t="shared" ref="H28:H29" si="6">G28*$D28</f>
        <v>0</v>
      </c>
      <c r="I28" s="515"/>
      <c r="J28" s="1160"/>
      <c r="K28" s="522">
        <v>0.2</v>
      </c>
      <c r="L28" s="515">
        <f t="shared" ref="L28:P29" si="7">K28*$D28</f>
        <v>3.8000000000000003</v>
      </c>
      <c r="M28" s="515"/>
      <c r="N28" s="1160"/>
      <c r="O28" s="522">
        <v>0</v>
      </c>
      <c r="P28" s="515">
        <f t="shared" si="7"/>
        <v>0</v>
      </c>
      <c r="Q28" s="522">
        <v>0</v>
      </c>
      <c r="R28" s="515">
        <f t="shared" ref="R28:R29" si="8">Q28*$D28</f>
        <v>0</v>
      </c>
    </row>
    <row r="29" spans="2:19" ht="15.75" x14ac:dyDescent="0.25">
      <c r="B29" s="523" t="s">
        <v>487</v>
      </c>
      <c r="C29" s="531" t="s">
        <v>488</v>
      </c>
      <c r="D29" s="521">
        <v>16</v>
      </c>
      <c r="E29" s="515"/>
      <c r="F29" s="1160"/>
      <c r="G29" s="530">
        <v>0</v>
      </c>
      <c r="H29" s="515">
        <f t="shared" si="6"/>
        <v>0</v>
      </c>
      <c r="I29" s="515"/>
      <c r="J29" s="1160"/>
      <c r="K29" s="530">
        <v>7</v>
      </c>
      <c r="L29" s="515">
        <f t="shared" si="7"/>
        <v>112</v>
      </c>
      <c r="M29" s="515"/>
      <c r="N29" s="1160"/>
      <c r="O29" s="522">
        <f>K29*0.25</f>
        <v>1.75</v>
      </c>
      <c r="P29" s="515">
        <f t="shared" si="7"/>
        <v>28</v>
      </c>
      <c r="Q29" s="522">
        <v>0</v>
      </c>
      <c r="R29" s="515">
        <f t="shared" si="8"/>
        <v>0</v>
      </c>
    </row>
    <row r="30" spans="2:19" ht="15.75" x14ac:dyDescent="0.25">
      <c r="B30" s="523" t="s">
        <v>489</v>
      </c>
      <c r="C30" s="531"/>
      <c r="D30" s="527"/>
      <c r="E30" s="525"/>
      <c r="F30" s="1160"/>
      <c r="G30" s="532"/>
      <c r="H30" s="515"/>
      <c r="I30" s="525"/>
      <c r="J30" s="1160"/>
      <c r="K30" s="532"/>
      <c r="L30" s="515"/>
      <c r="M30" s="515"/>
      <c r="N30" s="1160"/>
      <c r="O30" s="532"/>
      <c r="P30" s="515"/>
      <c r="Q30" s="532"/>
      <c r="R30" s="515"/>
    </row>
    <row r="31" spans="2:19" ht="15.75" x14ac:dyDescent="0.25">
      <c r="B31" s="534" t="s">
        <v>490</v>
      </c>
      <c r="C31" s="531" t="s">
        <v>491</v>
      </c>
      <c r="D31" s="958">
        <f>'Nutrient Inputs'!D57</f>
        <v>0.77</v>
      </c>
      <c r="E31" s="525"/>
      <c r="F31" s="1160"/>
      <c r="G31" s="522">
        <v>0</v>
      </c>
      <c r="H31" s="515">
        <f t="shared" ref="H31:H34" si="9">G31*$D31</f>
        <v>0</v>
      </c>
      <c r="I31" s="525"/>
      <c r="J31" s="1160"/>
      <c r="K31" s="522">
        <f>10*Switchgrass_Key_Inputs!D25</f>
        <v>15</v>
      </c>
      <c r="L31" s="515">
        <f t="shared" ref="L31:P34" si="10">K31*$D31</f>
        <v>11.55</v>
      </c>
      <c r="M31" s="515"/>
      <c r="N31" s="1160"/>
      <c r="O31" s="530">
        <f>10*Switchgrass_Key_Inputs!D26</f>
        <v>30</v>
      </c>
      <c r="P31" s="515">
        <f t="shared" si="10"/>
        <v>23.1</v>
      </c>
      <c r="Q31" s="522">
        <f>10*Switchgrass_Key_Inputs!D27</f>
        <v>60</v>
      </c>
      <c r="R31" s="515">
        <f t="shared" ref="R31:R34" si="11">Q31*$D31</f>
        <v>46.2</v>
      </c>
      <c r="S31">
        <f>(G31*$G$61+K31+O31+Q31*($G$57-3-$G$61))/$G$57</f>
        <v>46.5</v>
      </c>
    </row>
    <row r="32" spans="2:19" ht="15.75" x14ac:dyDescent="0.25">
      <c r="B32" s="534" t="s">
        <v>602</v>
      </c>
      <c r="C32" s="531" t="s">
        <v>491</v>
      </c>
      <c r="D32" s="958">
        <f>'Nutrient Inputs'!G57</f>
        <v>0.65</v>
      </c>
      <c r="E32" s="525"/>
      <c r="F32" s="1160"/>
      <c r="G32" s="522">
        <v>0</v>
      </c>
      <c r="H32" s="515">
        <f t="shared" si="9"/>
        <v>0</v>
      </c>
      <c r="I32" s="525"/>
      <c r="J32" s="1160"/>
      <c r="K32" s="522">
        <v>30</v>
      </c>
      <c r="L32" s="515">
        <f t="shared" si="10"/>
        <v>19.5</v>
      </c>
      <c r="M32" s="515"/>
      <c r="N32" s="1160"/>
      <c r="O32" s="530">
        <v>30</v>
      </c>
      <c r="P32" s="515">
        <f t="shared" si="10"/>
        <v>19.5</v>
      </c>
      <c r="Q32" s="522">
        <v>30</v>
      </c>
      <c r="R32" s="515">
        <f t="shared" si="11"/>
        <v>19.5</v>
      </c>
      <c r="S32">
        <f t="shared" ref="S32:S33" si="12">(G32*$G$61+K32+O32+Q32*($G$57-3-$G$61))/$G$57</f>
        <v>27</v>
      </c>
    </row>
    <row r="33" spans="2:19" ht="15.75" x14ac:dyDescent="0.25">
      <c r="B33" s="534" t="s">
        <v>492</v>
      </c>
      <c r="C33" s="531" t="s">
        <v>491</v>
      </c>
      <c r="D33" s="958">
        <f>'Nutrient Inputs'!H57</f>
        <v>0.54</v>
      </c>
      <c r="E33" s="525"/>
      <c r="F33" s="1160"/>
      <c r="G33" s="522">
        <v>0</v>
      </c>
      <c r="H33" s="515">
        <f t="shared" si="9"/>
        <v>0</v>
      </c>
      <c r="I33" s="525"/>
      <c r="J33" s="1160"/>
      <c r="K33" s="522">
        <v>70</v>
      </c>
      <c r="L33" s="515">
        <f t="shared" si="10"/>
        <v>37.800000000000004</v>
      </c>
      <c r="M33" s="515"/>
      <c r="N33" s="1160"/>
      <c r="O33" s="530">
        <v>70</v>
      </c>
      <c r="P33" s="515">
        <f t="shared" si="10"/>
        <v>37.800000000000004</v>
      </c>
      <c r="Q33" s="522">
        <v>70</v>
      </c>
      <c r="R33" s="515">
        <f t="shared" si="11"/>
        <v>37.800000000000004</v>
      </c>
      <c r="S33">
        <f t="shared" si="12"/>
        <v>63</v>
      </c>
    </row>
    <row r="34" spans="2:19" ht="15.75" x14ac:dyDescent="0.25">
      <c r="B34" s="523" t="s">
        <v>493</v>
      </c>
      <c r="C34" s="531" t="s">
        <v>494</v>
      </c>
      <c r="D34" s="524">
        <v>29</v>
      </c>
      <c r="E34" s="525"/>
      <c r="F34" s="1160"/>
      <c r="G34" s="530">
        <v>0</v>
      </c>
      <c r="H34" s="515">
        <f t="shared" si="9"/>
        <v>0</v>
      </c>
      <c r="I34" s="525"/>
      <c r="J34" s="1160"/>
      <c r="K34" s="530">
        <v>0</v>
      </c>
      <c r="L34" s="515">
        <f t="shared" si="10"/>
        <v>0</v>
      </c>
      <c r="M34" s="515"/>
      <c r="N34" s="1160"/>
      <c r="O34" s="530">
        <v>0</v>
      </c>
      <c r="P34" s="515">
        <f t="shared" si="10"/>
        <v>0</v>
      </c>
      <c r="Q34" s="530">
        <v>0</v>
      </c>
      <c r="R34" s="515">
        <f t="shared" si="11"/>
        <v>0</v>
      </c>
    </row>
    <row r="35" spans="2:19" ht="15.75" x14ac:dyDescent="0.25">
      <c r="B35" s="523" t="s">
        <v>495</v>
      </c>
      <c r="C35" s="531"/>
      <c r="D35" s="527"/>
      <c r="E35" s="525"/>
      <c r="F35" s="1160"/>
      <c r="G35" s="535"/>
      <c r="H35" s="525"/>
      <c r="I35" s="525"/>
      <c r="J35" s="1160"/>
      <c r="K35" s="535"/>
      <c r="L35" s="525"/>
      <c r="M35" s="525"/>
      <c r="N35" s="1160"/>
      <c r="O35" s="536"/>
      <c r="P35" s="525"/>
      <c r="Q35" s="535"/>
      <c r="R35" s="525"/>
    </row>
    <row r="36" spans="2:19" ht="15.75" x14ac:dyDescent="0.25">
      <c r="B36" s="534" t="s">
        <v>496</v>
      </c>
      <c r="C36" s="531" t="s">
        <v>497</v>
      </c>
      <c r="D36" s="521">
        <v>0.21</v>
      </c>
      <c r="E36" s="525"/>
      <c r="F36" s="1160"/>
      <c r="G36" s="522">
        <v>32</v>
      </c>
      <c r="H36" s="515">
        <f t="shared" ref="H36:H38" si="13">G36*$D36</f>
        <v>6.72</v>
      </c>
      <c r="I36" s="525"/>
      <c r="J36" s="1160"/>
      <c r="K36" s="522">
        <v>0</v>
      </c>
      <c r="L36" s="515">
        <f t="shared" ref="L36:P38" si="14">K36*$D36</f>
        <v>0</v>
      </c>
      <c r="M36" s="525"/>
      <c r="N36" s="1160"/>
      <c r="O36" s="522">
        <v>0</v>
      </c>
      <c r="P36" s="515">
        <f t="shared" ref="P36" si="15">O36*$D36</f>
        <v>0</v>
      </c>
      <c r="Q36" s="522">
        <v>0</v>
      </c>
      <c r="R36" s="515">
        <f t="shared" ref="R36:R38" si="16">Q36*$D36</f>
        <v>0</v>
      </c>
    </row>
    <row r="37" spans="2:19" ht="15.75" x14ac:dyDescent="0.25">
      <c r="B37" s="534" t="s">
        <v>498</v>
      </c>
      <c r="C37" s="531" t="s">
        <v>497</v>
      </c>
      <c r="D37" s="521">
        <f>350/(2.5*128)</f>
        <v>1.09375</v>
      </c>
      <c r="E37" s="515"/>
      <c r="F37" s="1160"/>
      <c r="G37" s="522">
        <v>0</v>
      </c>
      <c r="H37" s="515">
        <f t="shared" si="13"/>
        <v>0</v>
      </c>
      <c r="I37" s="515"/>
      <c r="J37" s="1160"/>
      <c r="K37" s="522">
        <v>32</v>
      </c>
      <c r="L37" s="515">
        <f t="shared" si="14"/>
        <v>35</v>
      </c>
      <c r="M37" s="515"/>
      <c r="N37" s="1160"/>
      <c r="O37" s="522">
        <v>0</v>
      </c>
      <c r="P37" s="515">
        <f t="shared" si="14"/>
        <v>0</v>
      </c>
      <c r="Q37" s="522">
        <v>0</v>
      </c>
      <c r="R37" s="515">
        <f t="shared" si="16"/>
        <v>0</v>
      </c>
    </row>
    <row r="38" spans="2:19" ht="15.75" x14ac:dyDescent="0.25">
      <c r="B38" s="534" t="s">
        <v>499</v>
      </c>
      <c r="C38" s="531" t="s">
        <v>497</v>
      </c>
      <c r="D38" s="521">
        <f>82.95/(2.5*128)</f>
        <v>0.25921875</v>
      </c>
      <c r="E38" s="515"/>
      <c r="F38" s="1160"/>
      <c r="G38" s="522">
        <v>0</v>
      </c>
      <c r="H38" s="526">
        <f t="shared" si="13"/>
        <v>0</v>
      </c>
      <c r="I38" s="515"/>
      <c r="J38" s="1160"/>
      <c r="K38" s="522">
        <v>32</v>
      </c>
      <c r="L38" s="526">
        <f t="shared" si="14"/>
        <v>8.2949999999999999</v>
      </c>
      <c r="M38" s="515"/>
      <c r="N38" s="1160"/>
      <c r="O38" s="522">
        <v>32</v>
      </c>
      <c r="P38" s="526">
        <f t="shared" si="14"/>
        <v>8.2949999999999999</v>
      </c>
      <c r="Q38" s="522">
        <v>32</v>
      </c>
      <c r="R38" s="526">
        <f t="shared" si="16"/>
        <v>8.2949999999999999</v>
      </c>
    </row>
    <row r="39" spans="2:19" ht="15.75" x14ac:dyDescent="0.25">
      <c r="B39" s="512" t="s">
        <v>500</v>
      </c>
      <c r="C39" s="537"/>
      <c r="D39" s="501"/>
      <c r="E39" s="501"/>
      <c r="F39" s="1160"/>
      <c r="G39" s="500"/>
      <c r="H39" s="517">
        <f>H28+H29+H31+H32+H33+H34+H37+H38</f>
        <v>0</v>
      </c>
      <c r="I39" s="501"/>
      <c r="J39" s="1160"/>
      <c r="K39" s="500"/>
      <c r="L39" s="517">
        <f>L28+L29+L31+L32+L33+L34+L37+L38</f>
        <v>227.94499999999999</v>
      </c>
      <c r="M39" s="517"/>
      <c r="N39" s="1160"/>
      <c r="O39" s="501"/>
      <c r="P39" s="517">
        <f>P28+P29+P31+P32+P33+P34+P37+P38</f>
        <v>116.69500000000001</v>
      </c>
      <c r="Q39" s="501"/>
      <c r="R39" s="517">
        <f>R28+R29+R31+R32+R33+R34+R37+R38</f>
        <v>111.795</v>
      </c>
    </row>
    <row r="40" spans="2:19" ht="15.75" x14ac:dyDescent="0.25">
      <c r="B40" s="512"/>
      <c r="C40" s="512"/>
      <c r="D40" s="501" t="s">
        <v>501</v>
      </c>
      <c r="E40" s="501"/>
      <c r="F40" s="1160"/>
      <c r="G40" s="500"/>
      <c r="H40" s="501"/>
      <c r="I40" s="501"/>
      <c r="J40" s="1160"/>
      <c r="K40" s="500"/>
      <c r="L40" s="501"/>
      <c r="M40" s="501"/>
      <c r="N40" s="1160"/>
      <c r="O40" s="500"/>
      <c r="P40" s="501"/>
      <c r="Q40" s="500"/>
      <c r="R40" s="501"/>
    </row>
    <row r="41" spans="2:19" ht="15.75" x14ac:dyDescent="0.25">
      <c r="B41" s="531" t="s">
        <v>502</v>
      </c>
      <c r="C41" s="531" t="s">
        <v>503</v>
      </c>
      <c r="D41" s="538">
        <v>0.05</v>
      </c>
      <c r="E41" s="539"/>
      <c r="F41" s="1160"/>
      <c r="G41" s="500"/>
      <c r="H41" s="540">
        <f>(H25+H39)*$D41*8/12</f>
        <v>0.20500000000000004</v>
      </c>
      <c r="I41" s="539"/>
      <c r="J41" s="1160"/>
      <c r="K41" s="500"/>
      <c r="L41" s="540">
        <f>(L25+L39)*$D41*8/12</f>
        <v>8.748166666666668</v>
      </c>
      <c r="M41" s="540"/>
      <c r="N41" s="1160"/>
      <c r="O41" s="541"/>
      <c r="P41" s="540">
        <f>(P25+P39)*$D41*8/12</f>
        <v>4.9848333333333343</v>
      </c>
      <c r="Q41" s="525"/>
      <c r="R41" s="540">
        <f>(R25+R39)*$D41*8/12</f>
        <v>4.1915000000000004</v>
      </c>
    </row>
    <row r="42" spans="2:19" ht="15.75" x14ac:dyDescent="0.25">
      <c r="B42" s="494"/>
      <c r="C42" s="494"/>
      <c r="D42" s="494"/>
      <c r="E42" s="494"/>
      <c r="F42" s="1160"/>
      <c r="G42" s="494"/>
      <c r="H42" s="494"/>
      <c r="I42" s="494"/>
      <c r="J42" s="1160"/>
      <c r="K42" s="494"/>
      <c r="L42" s="494"/>
      <c r="M42" s="494"/>
      <c r="N42" s="1160"/>
      <c r="O42" s="542"/>
      <c r="P42" s="494"/>
      <c r="Q42" s="543"/>
      <c r="R42" s="494"/>
    </row>
    <row r="43" spans="2:19" ht="15.75" x14ac:dyDescent="0.25">
      <c r="B43" s="531" t="s">
        <v>504</v>
      </c>
      <c r="C43" s="544"/>
      <c r="D43" s="545"/>
      <c r="E43" s="545"/>
      <c r="F43" s="1160"/>
      <c r="G43" s="543"/>
      <c r="H43" s="501"/>
      <c r="I43" s="545"/>
      <c r="J43" s="1160"/>
      <c r="K43" s="543"/>
      <c r="L43" s="501"/>
      <c r="M43" s="501"/>
      <c r="N43" s="1160"/>
      <c r="O43" s="542"/>
      <c r="P43" s="501"/>
      <c r="Q43" s="543"/>
      <c r="R43" s="501"/>
    </row>
    <row r="44" spans="2:19" ht="15.75" x14ac:dyDescent="0.25">
      <c r="B44" s="523" t="s">
        <v>505</v>
      </c>
      <c r="C44" s="543" t="s">
        <v>471</v>
      </c>
      <c r="D44" s="524">
        <v>13.35</v>
      </c>
      <c r="E44" s="525"/>
      <c r="F44" s="1160"/>
      <c r="G44" s="546">
        <v>0</v>
      </c>
      <c r="H44" s="515">
        <f t="shared" ref="H44:H48" si="17">G44*$D44</f>
        <v>0</v>
      </c>
      <c r="I44" s="525"/>
      <c r="J44" s="1160"/>
      <c r="K44" s="522">
        <v>0</v>
      </c>
      <c r="L44" s="515">
        <f t="shared" ref="L44:P48" si="18">K44*$D44</f>
        <v>0</v>
      </c>
      <c r="M44" s="515"/>
      <c r="N44" s="1160"/>
      <c r="O44" s="530">
        <v>1</v>
      </c>
      <c r="P44" s="515">
        <f t="shared" si="18"/>
        <v>13.35</v>
      </c>
      <c r="Q44" s="530">
        <v>1</v>
      </c>
      <c r="R44" s="515">
        <f t="shared" ref="R44:R48" si="19">Q44*$D44</f>
        <v>13.35</v>
      </c>
    </row>
    <row r="45" spans="2:19" ht="15.75" x14ac:dyDescent="0.25">
      <c r="B45" s="523" t="s">
        <v>506</v>
      </c>
      <c r="C45" s="543" t="s">
        <v>507</v>
      </c>
      <c r="D45" s="524">
        <v>14.05</v>
      </c>
      <c r="E45" s="525"/>
      <c r="F45" s="1160"/>
      <c r="G45" s="546">
        <v>0</v>
      </c>
      <c r="H45" s="515">
        <f t="shared" si="17"/>
        <v>0</v>
      </c>
      <c r="I45" s="525"/>
      <c r="J45" s="1160"/>
      <c r="K45" s="546">
        <f>Switchgrass_Key_Inputs!D25*2000/Switchgrass_Budget!C5</f>
        <v>2.4</v>
      </c>
      <c r="L45" s="515">
        <f t="shared" si="18"/>
        <v>33.72</v>
      </c>
      <c r="M45" s="515"/>
      <c r="N45" s="1160"/>
      <c r="O45" s="546">
        <f>Switchgrass_Key_Inputs!D26*2000/Switchgrass_Budget!C5</f>
        <v>4.8</v>
      </c>
      <c r="P45" s="515">
        <f t="shared" si="18"/>
        <v>67.44</v>
      </c>
      <c r="Q45" s="546">
        <f>Switchgrass_Key_Inputs!D27*2000/Switchgrass_Budget!C5</f>
        <v>9.6</v>
      </c>
      <c r="R45" s="515">
        <f t="shared" si="19"/>
        <v>134.88</v>
      </c>
    </row>
    <row r="46" spans="2:19" ht="15.75" x14ac:dyDescent="0.25">
      <c r="B46" s="523" t="s">
        <v>508</v>
      </c>
      <c r="C46" s="543" t="s">
        <v>471</v>
      </c>
      <c r="D46" s="524">
        <v>7.65</v>
      </c>
      <c r="E46" s="525"/>
      <c r="F46" s="1160"/>
      <c r="G46" s="546">
        <v>0</v>
      </c>
      <c r="H46" s="515">
        <f t="shared" si="17"/>
        <v>0</v>
      </c>
      <c r="I46" s="525"/>
      <c r="J46" s="1160"/>
      <c r="K46" s="522">
        <v>0</v>
      </c>
      <c r="L46" s="515">
        <f t="shared" si="18"/>
        <v>0</v>
      </c>
      <c r="M46" s="515"/>
      <c r="N46" s="1160"/>
      <c r="O46" s="530">
        <v>1</v>
      </c>
      <c r="P46" s="515">
        <f t="shared" si="18"/>
        <v>7.65</v>
      </c>
      <c r="Q46" s="530">
        <v>1</v>
      </c>
      <c r="R46" s="515">
        <f t="shared" si="19"/>
        <v>7.65</v>
      </c>
    </row>
    <row r="47" spans="2:19" ht="15.75" x14ac:dyDescent="0.25">
      <c r="B47" s="523" t="s">
        <v>509</v>
      </c>
      <c r="C47" s="543" t="s">
        <v>507</v>
      </c>
      <c r="D47" s="524">
        <v>3.05</v>
      </c>
      <c r="E47" s="525"/>
      <c r="F47" s="1160"/>
      <c r="G47" s="546">
        <v>0</v>
      </c>
      <c r="H47" s="526">
        <f t="shared" si="17"/>
        <v>0</v>
      </c>
      <c r="I47" s="525"/>
      <c r="J47" s="1160"/>
      <c r="K47" s="546">
        <f>K45</f>
        <v>2.4</v>
      </c>
      <c r="L47" s="526">
        <f t="shared" si="18"/>
        <v>7.3199999999999994</v>
      </c>
      <c r="M47" s="515"/>
      <c r="N47" s="1160"/>
      <c r="O47" s="546">
        <f>O45</f>
        <v>4.8</v>
      </c>
      <c r="P47" s="526">
        <f t="shared" si="18"/>
        <v>14.639999999999999</v>
      </c>
      <c r="Q47" s="546">
        <f>C7</f>
        <v>9.6</v>
      </c>
      <c r="R47" s="526">
        <f t="shared" si="19"/>
        <v>29.279999999999998</v>
      </c>
    </row>
    <row r="48" spans="2:19" ht="15.75" x14ac:dyDescent="0.25">
      <c r="B48" s="523" t="s">
        <v>510</v>
      </c>
      <c r="C48" s="543" t="s">
        <v>494</v>
      </c>
      <c r="D48" s="524">
        <v>13.46</v>
      </c>
      <c r="E48" s="525"/>
      <c r="F48" s="516"/>
      <c r="G48" s="546">
        <v>0</v>
      </c>
      <c r="H48" s="526">
        <f t="shared" si="17"/>
        <v>0</v>
      </c>
      <c r="I48" s="525"/>
      <c r="J48" s="516"/>
      <c r="K48" s="546">
        <f>Switchgrass_Key_Inputs!D25</f>
        <v>1.5</v>
      </c>
      <c r="L48" s="526">
        <f t="shared" si="18"/>
        <v>20.190000000000001</v>
      </c>
      <c r="M48" s="515"/>
      <c r="N48" s="516"/>
      <c r="O48" s="546">
        <f>Switchgrass_Key_Inputs!D26</f>
        <v>3</v>
      </c>
      <c r="P48" s="526">
        <f t="shared" si="18"/>
        <v>40.380000000000003</v>
      </c>
      <c r="Q48" s="546">
        <f>Switchgrass_Key_Inputs!D27</f>
        <v>6</v>
      </c>
      <c r="R48" s="526">
        <f t="shared" si="19"/>
        <v>80.760000000000005</v>
      </c>
    </row>
    <row r="49" spans="2:18" ht="15.75" x14ac:dyDescent="0.25">
      <c r="B49" s="547" t="s">
        <v>511</v>
      </c>
      <c r="C49" s="548"/>
      <c r="D49" s="549"/>
      <c r="E49" s="549"/>
      <c r="F49" s="549"/>
      <c r="G49" s="543"/>
      <c r="H49" s="550">
        <f>SUM(H44:H48)</f>
        <v>0</v>
      </c>
      <c r="I49" s="549"/>
      <c r="J49" s="549"/>
      <c r="K49" s="543"/>
      <c r="L49" s="550">
        <f>SUM(L44:L48)</f>
        <v>61.230000000000004</v>
      </c>
      <c r="M49" s="517"/>
      <c r="N49" s="517"/>
      <c r="O49" s="551"/>
      <c r="P49" s="550">
        <f>SUM(P44:P48)</f>
        <v>143.46</v>
      </c>
      <c r="Q49" s="552"/>
      <c r="R49" s="550">
        <f>SUM(R44:R48)</f>
        <v>265.92</v>
      </c>
    </row>
    <row r="50" spans="2:18" ht="15.75" x14ac:dyDescent="0.25">
      <c r="B50" s="547"/>
      <c r="C50" s="548"/>
      <c r="D50" s="549"/>
      <c r="E50" s="549"/>
      <c r="F50" s="549"/>
      <c r="G50" s="543"/>
      <c r="H50" s="517"/>
      <c r="I50" s="549"/>
      <c r="J50" s="549"/>
      <c r="K50" s="543"/>
      <c r="L50" s="517"/>
      <c r="M50" s="517"/>
      <c r="N50" s="517"/>
      <c r="O50" s="551"/>
      <c r="P50" s="517"/>
      <c r="Q50" s="552"/>
      <c r="R50" s="517"/>
    </row>
    <row r="51" spans="2:18" ht="15.75" x14ac:dyDescent="0.25">
      <c r="B51" s="547" t="s">
        <v>544</v>
      </c>
      <c r="C51" s="548"/>
      <c r="D51" s="549"/>
      <c r="E51" s="549"/>
      <c r="F51" s="549"/>
      <c r="G51" s="543"/>
      <c r="H51" s="517">
        <f>alternet</f>
        <v>17</v>
      </c>
      <c r="I51" s="549"/>
      <c r="J51" s="549"/>
      <c r="K51" s="543"/>
      <c r="L51" s="517">
        <f>alternet</f>
        <v>17</v>
      </c>
      <c r="M51" s="517"/>
      <c r="N51" s="517"/>
      <c r="O51" s="551"/>
      <c r="P51" s="517">
        <f>alternet</f>
        <v>17</v>
      </c>
      <c r="Q51" s="552"/>
      <c r="R51" s="517">
        <f>alternet</f>
        <v>17</v>
      </c>
    </row>
    <row r="52" spans="2:18" ht="15.75" x14ac:dyDescent="0.25">
      <c r="B52" s="547" t="s">
        <v>849</v>
      </c>
      <c r="C52" s="548"/>
      <c r="D52" s="549"/>
      <c r="E52" s="549"/>
      <c r="F52" s="549"/>
      <c r="G52" s="543"/>
      <c r="H52" s="517"/>
      <c r="I52" s="549"/>
      <c r="J52" s="549"/>
      <c r="K52" s="543"/>
      <c r="L52" s="517">
        <f>'Key inputs &amp; Outputs'!$F$16</f>
        <v>0</v>
      </c>
      <c r="M52" s="517"/>
      <c r="N52" s="517"/>
      <c r="O52" s="551"/>
      <c r="P52" s="517">
        <f>'Key inputs &amp; Outputs'!$F$16</f>
        <v>0</v>
      </c>
      <c r="Q52" s="552"/>
      <c r="R52" s="517">
        <f>'Key inputs &amp; Outputs'!$F$16</f>
        <v>0</v>
      </c>
    </row>
    <row r="53" spans="2:18" ht="16.5" thickBot="1" x14ac:dyDescent="0.3">
      <c r="B53" s="553"/>
      <c r="C53" s="553"/>
      <c r="D53" s="553"/>
      <c r="E53" s="553"/>
      <c r="F53" s="553"/>
      <c r="G53" s="553"/>
      <c r="H53" s="554"/>
      <c r="I53" s="553"/>
      <c r="J53" s="553"/>
      <c r="K53" s="553"/>
      <c r="L53" s="554"/>
      <c r="M53" s="553"/>
      <c r="N53" s="553"/>
      <c r="O53" s="553"/>
      <c r="P53" s="554"/>
      <c r="Q53" s="553"/>
      <c r="R53" s="555"/>
    </row>
    <row r="54" spans="2:18" ht="16.5" thickTop="1" x14ac:dyDescent="0.25">
      <c r="B54" s="556" t="s">
        <v>512</v>
      </c>
      <c r="C54" s="556"/>
      <c r="D54" s="557"/>
      <c r="E54" s="557"/>
      <c r="F54" s="557"/>
      <c r="G54" s="558"/>
      <c r="H54" s="559">
        <f>H17+H25+H39+H41+H49+H51</f>
        <v>54.744999999999997</v>
      </c>
      <c r="I54" s="557"/>
      <c r="J54" s="557"/>
      <c r="K54" s="558"/>
      <c r="L54" s="559">
        <f>L17+L25+L39+L41+L49+L51-L52</f>
        <v>396.9231666666667</v>
      </c>
      <c r="M54" s="559"/>
      <c r="N54" s="559"/>
      <c r="O54" s="557"/>
      <c r="P54" s="559">
        <f>P17+P25+P39+P41+P49+P51-P52</f>
        <v>314.98983333333337</v>
      </c>
      <c r="Q54" s="557"/>
      <c r="R54" s="559">
        <f>R17+R25+R39+R41+R49+R51-R52</f>
        <v>412.85649999999998</v>
      </c>
    </row>
    <row r="55" spans="2:18" ht="15.75" x14ac:dyDescent="0.25">
      <c r="B55" s="512"/>
      <c r="C55" s="537"/>
      <c r="D55" s="501"/>
      <c r="E55" s="501"/>
      <c r="F55" s="501"/>
      <c r="G55" s="501"/>
      <c r="H55" s="501"/>
      <c r="I55" s="501"/>
      <c r="J55" s="501"/>
      <c r="K55" s="500"/>
      <c r="L55" s="517"/>
      <c r="M55" s="517"/>
      <c r="N55" s="517"/>
      <c r="O55" s="501"/>
      <c r="P55" s="517"/>
      <c r="Q55" s="501"/>
      <c r="R55" s="517"/>
    </row>
    <row r="56" spans="2:18" ht="15.75" x14ac:dyDescent="0.25">
      <c r="B56" s="560" t="s">
        <v>513</v>
      </c>
      <c r="C56" s="561"/>
      <c r="D56" s="562" t="s">
        <v>501</v>
      </c>
      <c r="E56" s="562"/>
      <c r="F56" s="562"/>
      <c r="G56" s="562" t="s">
        <v>514</v>
      </c>
      <c r="H56" s="562"/>
      <c r="I56" s="562"/>
      <c r="J56" s="562"/>
      <c r="K56" s="563"/>
      <c r="L56" s="564" t="e">
        <f>IF(G61=1,H54,0)+#REF!+L17+L25+L39+L41</f>
        <v>#REF!</v>
      </c>
      <c r="M56" s="540"/>
      <c r="N56" s="540"/>
      <c r="O56" s="501"/>
      <c r="P56" s="517"/>
      <c r="Q56" s="501"/>
      <c r="R56" s="517"/>
    </row>
    <row r="57" spans="2:18" ht="15.75" x14ac:dyDescent="0.25">
      <c r="B57" s="565" t="s">
        <v>548</v>
      </c>
      <c r="C57" s="509"/>
      <c r="D57" s="588">
        <f>('Financial Inputs'!V195*(1-'Financial Inputs'!P159))+('Financial Inputs'!P159*'Financial Inputs'!V193*(1-'Financial Inputs'!P67))</f>
        <v>8.709000000000007E-2</v>
      </c>
      <c r="E57" s="566"/>
      <c r="F57" s="566"/>
      <c r="G57" s="567">
        <f>Switchgrass_Key_Inputs!D24+G61</f>
        <v>10</v>
      </c>
      <c r="H57" s="566"/>
      <c r="I57" s="566"/>
      <c r="J57" s="566"/>
      <c r="K57" s="543"/>
      <c r="L57" s="568"/>
      <c r="M57" s="541"/>
      <c r="N57" s="541"/>
      <c r="O57" s="501"/>
      <c r="P57" s="517"/>
      <c r="Q57" s="501"/>
      <c r="R57" s="517"/>
    </row>
    <row r="58" spans="2:18" ht="15.75" x14ac:dyDescent="0.25">
      <c r="B58" s="569" t="s">
        <v>515</v>
      </c>
      <c r="C58" s="570"/>
      <c r="D58" s="571"/>
      <c r="E58" s="571"/>
      <c r="F58" s="571"/>
      <c r="G58" s="571"/>
      <c r="H58" s="571"/>
      <c r="I58" s="571"/>
      <c r="J58" s="571"/>
      <c r="K58" s="572"/>
      <c r="L58" s="573"/>
      <c r="M58" s="540"/>
      <c r="N58" s="540"/>
      <c r="O58" s="501"/>
      <c r="P58" s="517"/>
      <c r="Q58" s="501"/>
      <c r="R58" s="517"/>
    </row>
    <row r="59" spans="2:18" x14ac:dyDescent="0.25">
      <c r="G59" s="417"/>
    </row>
    <row r="60" spans="2:18" x14ac:dyDescent="0.25">
      <c r="G60" s="574" t="s">
        <v>542</v>
      </c>
    </row>
    <row r="61" spans="2:18" x14ac:dyDescent="0.25">
      <c r="C61" s="600"/>
      <c r="G61" s="417">
        <f>Switchgrass_Key_Inputs!L9</f>
        <v>0</v>
      </c>
    </row>
  </sheetData>
  <sheetProtection sheet="1" objects="1" scenarios="1"/>
  <mergeCells count="4">
    <mergeCell ref="B1:R1"/>
    <mergeCell ref="F11:F47"/>
    <mergeCell ref="J11:J47"/>
    <mergeCell ref="N11:N47"/>
  </mergeCells>
  <conditionalFormatting sqref="D55:R58">
    <cfRule type="containsErrors" dxfId="23" priority="10">
      <formula>ISERROR(D55)</formula>
    </cfRule>
  </conditionalFormatting>
  <conditionalFormatting sqref="G44:G48 F49:H54">
    <cfRule type="containsErrors" dxfId="22" priority="11">
      <formula>ISERROR(F44)</formula>
    </cfRule>
  </conditionalFormatting>
  <conditionalFormatting sqref="I49:P52">
    <cfRule type="containsErrors" dxfId="21" priority="2">
      <formula>ISERROR(I49)</formula>
    </cfRule>
  </conditionalFormatting>
  <conditionalFormatting sqref="L4:N4 I44:I48 O44:O48 D44:E54 K45 K47:K48 I53:R54">
    <cfRule type="containsErrors" dxfId="20" priority="13">
      <formula>ISERROR(D4)</formula>
    </cfRule>
  </conditionalFormatting>
  <conditionalFormatting sqref="Q44:Q52">
    <cfRule type="containsErrors" dxfId="19" priority="12">
      <formula>ISERROR(Q44)</formula>
    </cfRule>
  </conditionalFormatting>
  <conditionalFormatting sqref="R49:R52">
    <cfRule type="containsErrors" dxfId="18" priority="1">
      <formula>ISERROR(R49)</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DAAD0-BD54-412D-B6F4-7C803CA1A0EF}">
  <sheetPr codeName="Sheet12"/>
  <dimension ref="O1:W60"/>
  <sheetViews>
    <sheetView workbookViewId="0">
      <selection activeCell="J32" sqref="J32"/>
    </sheetView>
  </sheetViews>
  <sheetFormatPr defaultRowHeight="15" x14ac:dyDescent="0.25"/>
  <cols>
    <col min="1" max="1" width="5.42578125" customWidth="1"/>
    <col min="2" max="2" width="15.85546875" customWidth="1"/>
    <col min="15" max="15" width="25" customWidth="1"/>
    <col min="16" max="16" width="16.140625" customWidth="1"/>
    <col min="17" max="17" width="14.7109375" customWidth="1"/>
    <col min="18" max="18" width="16.28515625" customWidth="1"/>
    <col min="19" max="19" width="14.7109375" customWidth="1"/>
    <col min="20" max="20" width="14.42578125" customWidth="1"/>
    <col min="21" max="23" width="15.28515625" customWidth="1"/>
  </cols>
  <sheetData>
    <row r="1" spans="15:23" ht="15.75" thickBot="1" x14ac:dyDescent="0.3"/>
    <row r="2" spans="15:23" ht="16.5" thickBot="1" x14ac:dyDescent="0.3">
      <c r="O2" s="2" t="str">
        <f>'Financial Inputs'!T146</f>
        <v>Investment sensitivity analysis (hard costs)</v>
      </c>
      <c r="P2" s="438"/>
      <c r="Q2" s="439"/>
      <c r="R2" s="1"/>
      <c r="S2" s="1"/>
      <c r="T2" s="2" t="str">
        <f>'Financial Inputs'!Y146</f>
        <v>Electricity rate sensitivity analysis</v>
      </c>
      <c r="U2" s="438"/>
      <c r="V2" s="439"/>
      <c r="W2" s="1"/>
    </row>
    <row r="3" spans="15:23" ht="15.75" x14ac:dyDescent="0.25">
      <c r="O3" s="420">
        <f>'Financial Inputs'!T147</f>
        <v>1</v>
      </c>
      <c r="P3" s="420" t="str">
        <f>'Financial Inputs'!U147</f>
        <v>Total hard costs</v>
      </c>
      <c r="Q3" s="420" t="s">
        <v>848</v>
      </c>
      <c r="R3" s="1"/>
      <c r="S3" s="1"/>
      <c r="T3" s="1"/>
      <c r="U3" s="1"/>
      <c r="V3" s="50" t="str">
        <f>Q3</f>
        <v>Year 1 cash flow</v>
      </c>
      <c r="W3" s="1"/>
    </row>
    <row r="4" spans="15:23" ht="15.75" x14ac:dyDescent="0.25">
      <c r="O4" s="156" t="str">
        <f>'Financial Inputs'!T148</f>
        <v>% change</v>
      </c>
      <c r="P4" s="464">
        <f>'Financial Inputs'!U148</f>
        <v>3528533.7671585921</v>
      </c>
      <c r="Q4" s="464">
        <f ca="1">'Financial Inputs'!V148</f>
        <v>49739.428291780685</v>
      </c>
      <c r="R4" s="1"/>
      <c r="S4" s="1"/>
      <c r="T4" s="1"/>
      <c r="U4" s="411" t="str">
        <f>'Financial Inputs'!Z148</f>
        <v>$/kWh</v>
      </c>
      <c r="V4" s="463">
        <f ca="1">'Financial Inputs'!AA148</f>
        <v>49739.428291780685</v>
      </c>
      <c r="W4" s="1"/>
    </row>
    <row r="5" spans="15:23" ht="15.75" x14ac:dyDescent="0.25">
      <c r="O5" s="420">
        <f>'Financial Inputs'!T149</f>
        <v>0.5</v>
      </c>
      <c r="P5" s="412">
        <f>'Financial Inputs'!U149</f>
        <v>3528533.7671585921</v>
      </c>
      <c r="Q5" s="412">
        <f>'Financial Inputs'!V149</f>
        <v>49739.428291780685</v>
      </c>
      <c r="R5" s="1"/>
      <c r="S5" s="1"/>
      <c r="T5" s="420">
        <f>'Financial Inputs'!Y149</f>
        <v>0.5</v>
      </c>
      <c r="U5" s="411">
        <f>'Financial Inputs'!Z149</f>
        <v>0.03</v>
      </c>
      <c r="V5" s="412">
        <f>'Financial Inputs'!AA149</f>
        <v>-54616.754294851482</v>
      </c>
      <c r="W5" s="1"/>
    </row>
    <row r="6" spans="15:23" ht="15.75" x14ac:dyDescent="0.25">
      <c r="O6" s="420">
        <f>'Financial Inputs'!T150</f>
        <v>0.75</v>
      </c>
      <c r="P6" s="412">
        <f>'Financial Inputs'!U150</f>
        <v>3528533.7671585921</v>
      </c>
      <c r="Q6" s="412">
        <f>'Financial Inputs'!V150</f>
        <v>49739.428291780685</v>
      </c>
      <c r="R6" s="1"/>
      <c r="S6" s="1"/>
      <c r="T6" s="420">
        <f>'Financial Inputs'!Y150</f>
        <v>0.75</v>
      </c>
      <c r="U6" s="411">
        <f>'Financial Inputs'!Z150</f>
        <v>4.4999999999999998E-2</v>
      </c>
      <c r="V6" s="412">
        <f>'Financial Inputs'!AA150</f>
        <v>-28527.708648193402</v>
      </c>
      <c r="W6" s="1"/>
    </row>
    <row r="7" spans="15:23" ht="15.75" x14ac:dyDescent="0.25">
      <c r="O7" s="467">
        <f>'Financial Inputs'!T151</f>
        <v>1</v>
      </c>
      <c r="P7" s="413">
        <f>'Financial Inputs'!U151</f>
        <v>3528533.7671585921</v>
      </c>
      <c r="Q7" s="413">
        <f>'Financial Inputs'!V151</f>
        <v>49739.428291780685</v>
      </c>
      <c r="R7" s="1"/>
      <c r="S7" s="1"/>
      <c r="T7" s="467">
        <f>'Financial Inputs'!Y151</f>
        <v>1</v>
      </c>
      <c r="U7" s="466">
        <f>'Financial Inputs'!Z151</f>
        <v>0.06</v>
      </c>
      <c r="V7" s="413">
        <f>'Financial Inputs'!AA151</f>
        <v>-2438.6630015353762</v>
      </c>
      <c r="W7" s="1"/>
    </row>
    <row r="8" spans="15:23" ht="15.75" x14ac:dyDescent="0.25">
      <c r="O8" s="420">
        <f>'Financial Inputs'!T152</f>
        <v>1.25</v>
      </c>
      <c r="P8" s="412">
        <f>'Financial Inputs'!U152</f>
        <v>3528533.7671585921</v>
      </c>
      <c r="Q8" s="412">
        <f>'Financial Inputs'!V152</f>
        <v>49739.428291780685</v>
      </c>
      <c r="R8" s="1"/>
      <c r="S8" s="1"/>
      <c r="T8" s="420">
        <f>'Financial Inputs'!Y152</f>
        <v>1.25</v>
      </c>
      <c r="U8" s="411">
        <f>'Financial Inputs'!Z152</f>
        <v>7.4999999999999997E-2</v>
      </c>
      <c r="V8" s="412">
        <f>'Financial Inputs'!AA152</f>
        <v>23650.382645122703</v>
      </c>
      <c r="W8" s="1"/>
    </row>
    <row r="9" spans="15:23" ht="15.75" x14ac:dyDescent="0.25">
      <c r="O9" s="420">
        <f>'Financial Inputs'!T153</f>
        <v>1.5</v>
      </c>
      <c r="P9" s="412">
        <f>'Financial Inputs'!U153</f>
        <v>3528533.7671585921</v>
      </c>
      <c r="Q9" s="412">
        <f>'Financial Inputs'!V153</f>
        <v>49739.428291780685</v>
      </c>
      <c r="R9" s="1"/>
      <c r="S9" s="1"/>
      <c r="T9" s="420">
        <f>'Financial Inputs'!Y153</f>
        <v>1.5</v>
      </c>
      <c r="U9" s="411">
        <f>'Financial Inputs'!Z153</f>
        <v>0.09</v>
      </c>
      <c r="V9" s="412">
        <f>'Financial Inputs'!AA153</f>
        <v>49739.428291780685</v>
      </c>
      <c r="W9" s="1"/>
    </row>
    <row r="10" spans="15:23" ht="16.5" thickBot="1" x14ac:dyDescent="0.3">
      <c r="O10" s="411"/>
      <c r="P10" s="411"/>
      <c r="Q10" s="411"/>
      <c r="R10" s="1"/>
      <c r="S10" s="1"/>
      <c r="T10" s="420">
        <f>'Financial Inputs'!Y154</f>
        <v>1.75</v>
      </c>
      <c r="U10" s="411">
        <f>'Financial Inputs'!Z154</f>
        <v>0.105</v>
      </c>
      <c r="V10" s="412">
        <f>'Financial Inputs'!AA154</f>
        <v>75828.473938438721</v>
      </c>
      <c r="W10" s="1"/>
    </row>
    <row r="11" spans="15:23" ht="16.5" thickBot="1" x14ac:dyDescent="0.3">
      <c r="O11" s="2" t="str">
        <f>'Financial Inputs'!T155</f>
        <v>Useful life sensitivity analysis</v>
      </c>
      <c r="P11" s="438"/>
      <c r="Q11" s="439"/>
      <c r="R11" s="1"/>
      <c r="S11" s="1"/>
      <c r="T11" s="1"/>
      <c r="U11" s="1"/>
      <c r="V11" s="1"/>
      <c r="W11" s="1"/>
    </row>
    <row r="12" spans="15:23" ht="16.5" thickBot="1" x14ac:dyDescent="0.3">
      <c r="O12" s="1"/>
      <c r="P12" s="1"/>
      <c r="Q12" s="985" t="str">
        <f>Q3</f>
        <v>Year 1 cash flow</v>
      </c>
      <c r="R12" s="1"/>
      <c r="S12" s="1"/>
      <c r="T12" s="2" t="str">
        <f>'Financial Inputs'!Y156</f>
        <v>Tipping fee sensitivity analysis</v>
      </c>
      <c r="U12" s="438"/>
      <c r="V12" s="439"/>
      <c r="W12" s="1"/>
    </row>
    <row r="13" spans="15:23" ht="15.75" x14ac:dyDescent="0.25">
      <c r="O13" s="1"/>
      <c r="P13" s="1" t="str">
        <f>'Financial Inputs'!U157</f>
        <v>Years</v>
      </c>
      <c r="Q13" s="465">
        <f ca="1">'Financial Inputs'!V157</f>
        <v>49739.428291780685</v>
      </c>
      <c r="R13" s="1"/>
      <c r="S13" s="1"/>
      <c r="T13" s="1"/>
      <c r="U13" s="411"/>
      <c r="V13" s="985" t="str">
        <f>Q3</f>
        <v>Year 1 cash flow</v>
      </c>
      <c r="W13" s="1"/>
    </row>
    <row r="14" spans="15:23" ht="15.75" x14ac:dyDescent="0.25">
      <c r="O14" s="420">
        <f>'Financial Inputs'!T158</f>
        <v>0.5</v>
      </c>
      <c r="P14" s="411">
        <f>'Financial Inputs'!U158</f>
        <v>10</v>
      </c>
      <c r="Q14" s="412">
        <f>'Financial Inputs'!V158</f>
        <v>-45533.310246241817</v>
      </c>
      <c r="R14" s="1"/>
      <c r="S14" s="1"/>
      <c r="T14" s="1"/>
      <c r="U14" s="411" t="str">
        <f>'Financial Inputs'!Z158</f>
        <v>Tipping fee/ton</v>
      </c>
      <c r="V14" s="465">
        <f ca="1">'Financial Inputs'!AA158</f>
        <v>49739.428291780685</v>
      </c>
      <c r="W14" s="1"/>
    </row>
    <row r="15" spans="15:23" ht="15.75" x14ac:dyDescent="0.25">
      <c r="O15" s="420">
        <f>'Financial Inputs'!T159</f>
        <v>0.75</v>
      </c>
      <c r="P15" s="411">
        <f>'Financial Inputs'!U159</f>
        <v>15</v>
      </c>
      <c r="Q15" s="412">
        <f>'Financial Inputs'!V159</f>
        <v>18927.612334922636</v>
      </c>
      <c r="R15" s="1"/>
      <c r="S15" s="1"/>
      <c r="T15" s="420">
        <f>'Financial Inputs'!Y159</f>
        <v>0.75</v>
      </c>
      <c r="U15" s="412">
        <f>'Financial Inputs'!Z159</f>
        <v>7.5</v>
      </c>
      <c r="V15" s="408">
        <f>'Financial Inputs'!AA159</f>
        <v>22159.115791780761</v>
      </c>
      <c r="W15" s="1"/>
    </row>
    <row r="16" spans="15:23" ht="15.75" x14ac:dyDescent="0.25">
      <c r="O16" s="467">
        <f>'Financial Inputs'!T160</f>
        <v>1</v>
      </c>
      <c r="P16" s="466">
        <f>'Financial Inputs'!U160</f>
        <v>20</v>
      </c>
      <c r="Q16" s="413">
        <f>'Financial Inputs'!V160</f>
        <v>49739.428291780685</v>
      </c>
      <c r="R16" s="1"/>
      <c r="S16" s="1"/>
      <c r="T16" s="467">
        <f>'Financial Inputs'!Y160</f>
        <v>1</v>
      </c>
      <c r="U16" s="413">
        <f>'Financial Inputs'!Z160</f>
        <v>10</v>
      </c>
      <c r="V16" s="415">
        <f>'Financial Inputs'!AA160</f>
        <v>49739.428291780685</v>
      </c>
      <c r="W16" s="1"/>
    </row>
    <row r="17" spans="15:23" ht="15.75" x14ac:dyDescent="0.25">
      <c r="O17" s="420">
        <f>'Financial Inputs'!T161</f>
        <v>1.25</v>
      </c>
      <c r="P17" s="411">
        <f>'Financial Inputs'!U161</f>
        <v>25</v>
      </c>
      <c r="Q17" s="412">
        <f>'Financial Inputs'!V161</f>
        <v>64497.465098941386</v>
      </c>
      <c r="R17" s="1"/>
      <c r="S17" s="1"/>
      <c r="T17" s="420">
        <f>'Financial Inputs'!Y161</f>
        <v>1.25</v>
      </c>
      <c r="U17" s="412">
        <f>'Financial Inputs'!Z161</f>
        <v>12.5</v>
      </c>
      <c r="V17" s="408">
        <f>'Financial Inputs'!AA161</f>
        <v>77319.7407917807</v>
      </c>
      <c r="W17" s="1"/>
    </row>
    <row r="18" spans="15:23" ht="15.75" x14ac:dyDescent="0.25">
      <c r="O18" s="420">
        <f>'Financial Inputs'!T162</f>
        <v>1.5</v>
      </c>
      <c r="P18" s="411">
        <f>'Financial Inputs'!U162</f>
        <v>30</v>
      </c>
      <c r="Q18" s="412">
        <f>'Financial Inputs'!V162</f>
        <v>73341.367072205394</v>
      </c>
      <c r="R18" s="1"/>
      <c r="S18" s="1"/>
      <c r="T18" s="420">
        <f>'Financial Inputs'!Y162</f>
        <v>1.5</v>
      </c>
      <c r="U18" s="412">
        <f>'Financial Inputs'!Z162</f>
        <v>15</v>
      </c>
      <c r="V18" s="408">
        <f>'Financial Inputs'!AA162</f>
        <v>104900.05329178067</v>
      </c>
      <c r="W18" s="1"/>
    </row>
    <row r="19" spans="15:23" ht="16.5" thickBot="1" x14ac:dyDescent="0.3">
      <c r="O19" s="1"/>
      <c r="P19" s="1"/>
      <c r="Q19" s="1"/>
      <c r="R19" s="1"/>
      <c r="S19" s="1"/>
      <c r="T19" s="420">
        <f>'Financial Inputs'!Y163</f>
        <v>1.75</v>
      </c>
      <c r="U19" s="412">
        <f>'Financial Inputs'!Z163</f>
        <v>17.5</v>
      </c>
      <c r="V19" s="408">
        <f>'Financial Inputs'!AA163</f>
        <v>132480.36579178073</v>
      </c>
      <c r="W19" s="1"/>
    </row>
    <row r="20" spans="15:23" ht="16.5" thickBot="1" x14ac:dyDescent="0.3">
      <c r="O20" s="2" t="str">
        <f>'Financial Inputs'!T164</f>
        <v>O&amp;M sensitivity analysis</v>
      </c>
      <c r="P20" s="438"/>
      <c r="Q20" s="439"/>
      <c r="R20" s="1"/>
      <c r="S20" s="1"/>
      <c r="T20" s="1"/>
      <c r="U20" s="1"/>
      <c r="V20" s="1"/>
      <c r="W20" s="1"/>
    </row>
    <row r="21" spans="15:23" ht="16.5" thickBot="1" x14ac:dyDescent="0.3">
      <c r="O21" s="420">
        <f>'Financial Inputs'!T165</f>
        <v>1</v>
      </c>
      <c r="P21" s="411" t="str">
        <f>'Financial Inputs'!U165</f>
        <v>Total hard costs</v>
      </c>
      <c r="Q21" s="985" t="str">
        <f>Q3</f>
        <v>Year 1 cash flow</v>
      </c>
      <c r="R21" s="1"/>
      <c r="S21" s="1"/>
      <c r="T21" s="2" t="str">
        <f>'Financial Inputs'!Y165</f>
        <v>Nutrient fertilizer value sensitivity analysis</v>
      </c>
      <c r="U21" s="438"/>
      <c r="V21" s="438"/>
      <c r="W21" s="439"/>
    </row>
    <row r="22" spans="15:23" ht="15.75" x14ac:dyDescent="0.25">
      <c r="O22" s="411" t="str">
        <f>'Financial Inputs'!T166</f>
        <v>% change</v>
      </c>
      <c r="P22" s="464">
        <f>'Financial Inputs'!U166</f>
        <v>50185.368410481227</v>
      </c>
      <c r="Q22" s="463">
        <f ca="1">'Financial Inputs'!V166</f>
        <v>49739.428291780685</v>
      </c>
      <c r="R22" s="1"/>
      <c r="S22" s="1"/>
      <c r="T22" s="420">
        <f>'Financial Inputs'!Y166</f>
        <v>1</v>
      </c>
      <c r="U22" s="411" t="str">
        <f>'Financial Inputs'!Z166</f>
        <v>Fertilizer value</v>
      </c>
      <c r="V22" s="985" t="str">
        <f>Q3</f>
        <v>Year 1 cash flow</v>
      </c>
      <c r="W22" s="1"/>
    </row>
    <row r="23" spans="15:23" ht="15.75" x14ac:dyDescent="0.25">
      <c r="O23" s="420">
        <f>'Financial Inputs'!T167</f>
        <v>0.5</v>
      </c>
      <c r="P23" s="412">
        <f>'Financial Inputs'!U167</f>
        <v>25092.684205240614</v>
      </c>
      <c r="Q23" s="412">
        <f>'Financial Inputs'!V167</f>
        <v>65856.136457302026</v>
      </c>
      <c r="R23" s="1"/>
      <c r="S23" s="1"/>
      <c r="T23" s="411" t="str">
        <f>'Financial Inputs'!Y167</f>
        <v>% change</v>
      </c>
      <c r="U23" s="464">
        <f>'Financial Inputs'!Z167</f>
        <v>127231.47841531181</v>
      </c>
      <c r="V23" s="464">
        <f ca="1">'Financial Inputs'!AA167</f>
        <v>49739.428291780685</v>
      </c>
      <c r="W23" s="1"/>
    </row>
    <row r="24" spans="15:23" ht="15.75" x14ac:dyDescent="0.25">
      <c r="O24" s="420">
        <f>'Financial Inputs'!T168</f>
        <v>0.75</v>
      </c>
      <c r="P24" s="412">
        <f>'Financial Inputs'!U168</f>
        <v>37639.02630786092</v>
      </c>
      <c r="Q24" s="412">
        <f>'Financial Inputs'!V168</f>
        <v>57797.719068444392</v>
      </c>
      <c r="R24" s="1"/>
      <c r="S24" s="1"/>
      <c r="T24" s="420">
        <f>'Financial Inputs'!Y168</f>
        <v>0.5</v>
      </c>
      <c r="U24" s="412">
        <f>'Financial Inputs'!Z168</f>
        <v>63615.739207655904</v>
      </c>
      <c r="V24" s="412">
        <f>'Financial Inputs'!AA168</f>
        <v>11283.713940752688</v>
      </c>
      <c r="W24" s="1"/>
    </row>
    <row r="25" spans="15:23" ht="15.75" x14ac:dyDescent="0.25">
      <c r="O25" s="467">
        <f>'Financial Inputs'!T169</f>
        <v>1</v>
      </c>
      <c r="P25" s="413">
        <f>'Financial Inputs'!U169</f>
        <v>50185.368410481227</v>
      </c>
      <c r="Q25" s="413">
        <f>'Financial Inputs'!V169</f>
        <v>49739.428291780685</v>
      </c>
      <c r="R25" s="1"/>
      <c r="S25" s="1"/>
      <c r="T25" s="420">
        <f>'Financial Inputs'!Y169</f>
        <v>0.75</v>
      </c>
      <c r="U25" s="412">
        <f>'Financial Inputs'!Z169</f>
        <v>95423.608811483864</v>
      </c>
      <c r="V25" s="412">
        <f>'Financial Inputs'!AA169</f>
        <v>30511.571116266685</v>
      </c>
      <c r="W25" s="1"/>
    </row>
    <row r="26" spans="15:23" ht="15.75" x14ac:dyDescent="0.25">
      <c r="O26" s="420">
        <f>'Financial Inputs'!T170</f>
        <v>1.25</v>
      </c>
      <c r="P26" s="412">
        <f>'Financial Inputs'!U170</f>
        <v>62731.710513101534</v>
      </c>
      <c r="Q26" s="412">
        <f>'Financial Inputs'!V170</f>
        <v>41681.263509947465</v>
      </c>
      <c r="R26" s="1"/>
      <c r="S26" s="1"/>
      <c r="T26" s="467">
        <f>'Financial Inputs'!Y170</f>
        <v>1</v>
      </c>
      <c r="U26" s="412">
        <f>'Financial Inputs'!Z170</f>
        <v>127231.47841531181</v>
      </c>
      <c r="V26" s="412">
        <f>'Financial Inputs'!AA170</f>
        <v>49739.428291780685</v>
      </c>
      <c r="W26" s="1"/>
    </row>
    <row r="27" spans="15:23" ht="15.75" x14ac:dyDescent="0.25">
      <c r="O27" s="420">
        <f>'Financial Inputs'!T171</f>
        <v>1.5</v>
      </c>
      <c r="P27" s="412">
        <f>'Financial Inputs'!U171</f>
        <v>75278.052615721841</v>
      </c>
      <c r="Q27" s="412">
        <f>'Financial Inputs'!V171</f>
        <v>33623.22410947032</v>
      </c>
      <c r="R27" s="1"/>
      <c r="S27" s="1"/>
      <c r="T27" s="420">
        <f>'Financial Inputs'!Y171</f>
        <v>1.25</v>
      </c>
      <c r="U27" s="412">
        <f>'Financial Inputs'!Z171</f>
        <v>159039.34801913975</v>
      </c>
      <c r="V27" s="412">
        <f>'Financial Inputs'!AA171</f>
        <v>68967.285467294685</v>
      </c>
      <c r="W27" s="1"/>
    </row>
    <row r="28" spans="15:23" ht="16.5" thickBot="1" x14ac:dyDescent="0.3">
      <c r="O28" s="1"/>
      <c r="P28" s="1"/>
      <c r="Q28" s="1"/>
      <c r="R28" s="1"/>
      <c r="S28" s="1"/>
      <c r="T28" s="420">
        <f>'Financial Inputs'!Y172</f>
        <v>1.5</v>
      </c>
      <c r="U28" s="412">
        <f>'Financial Inputs'!Z172</f>
        <v>190847.21762296773</v>
      </c>
      <c r="V28" s="412">
        <f>'Financial Inputs'!AA172</f>
        <v>88195.142642808773</v>
      </c>
      <c r="W28" s="1"/>
    </row>
    <row r="29" spans="15:23" ht="16.5" thickBot="1" x14ac:dyDescent="0.3">
      <c r="O29" s="2" t="str">
        <f>'Financial Inputs'!T173</f>
        <v>Grant sensitivity analysis</v>
      </c>
      <c r="P29" s="438"/>
      <c r="Q29" s="439"/>
      <c r="R29" s="1"/>
      <c r="S29" s="1"/>
      <c r="T29" s="1"/>
      <c r="U29" s="1"/>
      <c r="V29" s="1"/>
      <c r="W29" s="1"/>
    </row>
    <row r="30" spans="15:23" ht="15.75" x14ac:dyDescent="0.25">
      <c r="O30" s="1"/>
      <c r="P30" s="411"/>
      <c r="Q30" s="985" t="str">
        <f>Q3</f>
        <v>Year 1 cash flow</v>
      </c>
      <c r="R30" s="1"/>
      <c r="S30" s="1"/>
      <c r="T30" s="1"/>
      <c r="U30" s="1"/>
      <c r="V30" s="1"/>
      <c r="W30" s="1"/>
    </row>
    <row r="31" spans="15:23" ht="15.75" x14ac:dyDescent="0.25">
      <c r="O31" s="1"/>
      <c r="P31" t="str">
        <f>'Financial Inputs'!U175</f>
        <v>Grant, %</v>
      </c>
      <c r="Q31" s="444">
        <f ca="1">'Financial Inputs'!V175</f>
        <v>49739.428291780685</v>
      </c>
      <c r="R31" s="1"/>
      <c r="S31" s="1"/>
      <c r="T31" s="1"/>
      <c r="U31" s="1"/>
      <c r="V31" s="1"/>
      <c r="W31" s="1"/>
    </row>
    <row r="32" spans="15:23" ht="15.75" x14ac:dyDescent="0.25">
      <c r="O32" s="420">
        <f>'Financial Inputs'!T176</f>
        <v>0.5</v>
      </c>
      <c r="P32" s="410">
        <f>'Financial Inputs'!U176</f>
        <v>0.1</v>
      </c>
      <c r="Q32" s="409">
        <f>'Financial Inputs'!V176</f>
        <v>40086.147350031839</v>
      </c>
      <c r="R32" s="1"/>
      <c r="S32" s="1"/>
      <c r="T32" s="1"/>
      <c r="U32" s="1"/>
      <c r="V32" s="1"/>
      <c r="W32" s="1"/>
    </row>
    <row r="33" spans="15:23" ht="15.75" x14ac:dyDescent="0.25">
      <c r="O33" s="420">
        <f>'Financial Inputs'!T177</f>
        <v>0.75</v>
      </c>
      <c r="P33" s="410">
        <f>'Financial Inputs'!U177</f>
        <v>0.15000000000000002</v>
      </c>
      <c r="Q33" s="409">
        <f>'Financial Inputs'!V177</f>
        <v>49739.428291780685</v>
      </c>
      <c r="R33" s="1"/>
      <c r="S33" s="1"/>
      <c r="T33" s="1"/>
      <c r="U33" s="1"/>
      <c r="V33" s="1"/>
      <c r="W33" s="1"/>
    </row>
    <row r="34" spans="15:23" ht="15.75" x14ac:dyDescent="0.25">
      <c r="O34" s="467">
        <f>'Financial Inputs'!T178</f>
        <v>1</v>
      </c>
      <c r="P34" s="414">
        <f>'Financial Inputs'!U178</f>
        <v>0.2</v>
      </c>
      <c r="Q34" s="413">
        <f>'Financial Inputs'!V178</f>
        <v>59396.7359819884</v>
      </c>
      <c r="R34" s="1"/>
      <c r="S34" s="1"/>
      <c r="T34" s="1"/>
      <c r="U34" s="1"/>
      <c r="V34" s="1"/>
      <c r="W34" s="1"/>
    </row>
    <row r="35" spans="15:23" ht="15.75" x14ac:dyDescent="0.25">
      <c r="O35" s="420">
        <f>'Financial Inputs'!T179</f>
        <v>1.25</v>
      </c>
      <c r="P35" s="410">
        <f>'Financial Inputs'!U179</f>
        <v>0.25</v>
      </c>
      <c r="Q35" s="412">
        <f>'Financial Inputs'!V179</f>
        <v>69058.054602133634</v>
      </c>
      <c r="R35" s="1"/>
      <c r="S35" s="1"/>
      <c r="T35" s="1"/>
      <c r="U35" s="1"/>
      <c r="V35" s="1"/>
      <c r="W35" s="1"/>
    </row>
    <row r="36" spans="15:23" ht="15.75" x14ac:dyDescent="0.25">
      <c r="O36" s="420">
        <f>'Financial Inputs'!T180</f>
        <v>1.5</v>
      </c>
      <c r="P36" s="410">
        <f>'Financial Inputs'!U180</f>
        <v>0.30000000000000004</v>
      </c>
      <c r="Q36" s="412">
        <f>'Financial Inputs'!V180</f>
        <v>78723.378394269777</v>
      </c>
      <c r="R36" s="1"/>
      <c r="S36" s="1"/>
      <c r="T36" s="1"/>
      <c r="U36" s="1"/>
      <c r="V36" s="1"/>
      <c r="W36" s="1"/>
    </row>
    <row r="37" spans="15:23" ht="16.5" thickBot="1" x14ac:dyDescent="0.3">
      <c r="O37" s="1"/>
      <c r="P37" s="1"/>
      <c r="Q37" s="1"/>
      <c r="R37" s="1"/>
      <c r="S37" s="1"/>
      <c r="T37" s="1"/>
      <c r="U37" s="1"/>
      <c r="V37" s="1"/>
      <c r="W37" s="1"/>
    </row>
    <row r="38" spans="15:23" ht="16.5" thickBot="1" x14ac:dyDescent="0.3">
      <c r="O38" s="2" t="str">
        <f>'Financial Inputs'!T182</f>
        <v>Inflation rate sensitivity analysis (nominal)</v>
      </c>
      <c r="P38" s="438"/>
      <c r="Q38" s="439"/>
      <c r="R38" s="1"/>
      <c r="S38" s="1"/>
      <c r="T38" s="1"/>
      <c r="U38" s="1"/>
      <c r="V38" s="1"/>
      <c r="W38" s="1"/>
    </row>
    <row r="39" spans="15:23" ht="15.75" x14ac:dyDescent="0.25">
      <c r="O39" s="1"/>
      <c r="P39" s="411"/>
      <c r="Q39" s="985" t="str">
        <f>Q3</f>
        <v>Year 1 cash flow</v>
      </c>
      <c r="R39" s="1"/>
      <c r="S39" s="1"/>
      <c r="T39" s="1"/>
      <c r="U39" s="1"/>
      <c r="V39" s="1"/>
      <c r="W39" s="1"/>
    </row>
    <row r="40" spans="15:23" ht="15.75" x14ac:dyDescent="0.25">
      <c r="O40" s="1"/>
      <c r="P40" s="411" t="str">
        <f>'Financial Inputs'!U184</f>
        <v>%/year</v>
      </c>
      <c r="Q40" s="465">
        <f ca="1">'Financial Inputs'!V184</f>
        <v>49739.428291780685</v>
      </c>
      <c r="R40" s="1"/>
      <c r="S40" s="1"/>
      <c r="T40" s="1"/>
      <c r="U40" s="1"/>
      <c r="V40" s="1"/>
      <c r="W40" s="1"/>
    </row>
    <row r="41" spans="15:23" ht="15.75" x14ac:dyDescent="0.25">
      <c r="O41" s="420">
        <f>'Financial Inputs'!T185</f>
        <v>0.5</v>
      </c>
      <c r="P41" s="422">
        <f>'Financial Inputs'!U185</f>
        <v>0.01</v>
      </c>
      <c r="Q41" s="412">
        <f>'Financial Inputs'!V185</f>
        <v>35530.151533080512</v>
      </c>
      <c r="R41" s="1"/>
      <c r="S41" s="1"/>
      <c r="T41" s="1"/>
      <c r="U41" s="1"/>
      <c r="V41" s="1"/>
      <c r="W41" s="1"/>
    </row>
    <row r="42" spans="15:23" ht="15.75" x14ac:dyDescent="0.25">
      <c r="O42" s="420">
        <f>'Financial Inputs'!T186</f>
        <v>0.75</v>
      </c>
      <c r="P42" s="422">
        <f>'Financial Inputs'!U186</f>
        <v>1.4999999999999999E-2</v>
      </c>
      <c r="Q42" s="412">
        <f>'Financial Inputs'!V186</f>
        <v>42710.343238934991</v>
      </c>
      <c r="R42" s="1"/>
      <c r="S42" s="1"/>
      <c r="T42" s="1"/>
      <c r="U42" s="1"/>
      <c r="V42" s="1"/>
      <c r="W42" s="1"/>
    </row>
    <row r="43" spans="15:23" ht="15.75" x14ac:dyDescent="0.25">
      <c r="O43" s="467">
        <f>'Financial Inputs'!T187</f>
        <v>1</v>
      </c>
      <c r="P43" s="472">
        <f>'Financial Inputs'!U187</f>
        <v>0.02</v>
      </c>
      <c r="Q43" s="413">
        <f>'Financial Inputs'!V187</f>
        <v>49739.428291780685</v>
      </c>
      <c r="R43" s="1"/>
      <c r="S43" s="1"/>
      <c r="T43" s="1"/>
      <c r="U43" s="1"/>
      <c r="V43" s="1"/>
      <c r="W43" s="1"/>
    </row>
    <row r="44" spans="15:23" ht="15.75" x14ac:dyDescent="0.25">
      <c r="O44" s="420">
        <f>'Financial Inputs'!T188</f>
        <v>1.25</v>
      </c>
      <c r="P44" s="422">
        <f>'Financial Inputs'!U188</f>
        <v>2.5000000000000001E-2</v>
      </c>
      <c r="Q44" s="412">
        <f>'Financial Inputs'!V188</f>
        <v>56615.002725499071</v>
      </c>
      <c r="R44" s="1"/>
      <c r="S44" s="1"/>
      <c r="T44" s="1"/>
      <c r="U44" s="1"/>
      <c r="V44" s="1"/>
      <c r="W44" s="1"/>
    </row>
    <row r="45" spans="15:23" ht="15.75" x14ac:dyDescent="0.25">
      <c r="O45" s="420">
        <f>'Financial Inputs'!T189</f>
        <v>1.5</v>
      </c>
      <c r="P45" s="422">
        <f>'Financial Inputs'!U189</f>
        <v>0.03</v>
      </c>
      <c r="Q45" s="412">
        <f>'Financial Inputs'!V189</f>
        <v>63334.886045877684</v>
      </c>
      <c r="R45" s="1"/>
      <c r="S45" s="1"/>
      <c r="T45" s="1"/>
      <c r="U45" s="1"/>
      <c r="V45" s="1"/>
      <c r="W45" s="1"/>
    </row>
    <row r="46" spans="15:23" ht="15.75" x14ac:dyDescent="0.25">
      <c r="O46" s="1"/>
      <c r="P46" s="412"/>
      <c r="Q46" s="1"/>
      <c r="R46" s="1"/>
      <c r="S46" s="1"/>
      <c r="T46" s="1"/>
      <c r="U46" s="1"/>
      <c r="V46" s="1"/>
      <c r="W46" s="1"/>
    </row>
    <row r="47" spans="15:23" ht="15.75" x14ac:dyDescent="0.25">
      <c r="O47" s="430" t="str">
        <f>'Financial Inputs'!T191</f>
        <v>Baseline for the "Real" interest rate sensitivity analysis below:</v>
      </c>
      <c r="P47" s="411"/>
      <c r="Q47" s="411"/>
      <c r="R47" s="411"/>
      <c r="S47" s="1"/>
      <c r="T47" s="1"/>
      <c r="W47" s="1"/>
    </row>
    <row r="48" spans="15:23" ht="15.75" x14ac:dyDescent="0.25">
      <c r="O48" s="411" t="str">
        <f>'Financial Inputs'!T192</f>
        <v>"Real"  interest rate on debt</v>
      </c>
      <c r="P48" s="477" t="str">
        <f>'Financial Inputs'!U192</f>
        <v>%</v>
      </c>
      <c r="Q48" s="476">
        <f>'Financial Inputs'!V192</f>
        <v>5.8823529411764719E-2</v>
      </c>
      <c r="R48" s="411"/>
      <c r="S48" s="1"/>
      <c r="T48" s="1"/>
      <c r="W48" s="1"/>
    </row>
    <row r="49" spans="15:23" ht="15.75" x14ac:dyDescent="0.25">
      <c r="O49" s="411" t="str">
        <f>'Financial Inputs'!T193</f>
        <v>Interest Rate on Debt</v>
      </c>
      <c r="P49" s="477" t="str">
        <f>'Financial Inputs'!U193</f>
        <v>%</v>
      </c>
      <c r="Q49" s="476">
        <f>'Financial Inputs'!V193</f>
        <v>8.0000000000000071E-2</v>
      </c>
      <c r="R49" s="411"/>
      <c r="S49" s="1"/>
      <c r="T49" s="1"/>
      <c r="W49" s="1"/>
    </row>
    <row r="50" spans="15:23" ht="15.75" x14ac:dyDescent="0.25">
      <c r="O50" s="411" t="str">
        <f>'Financial Inputs'!T194</f>
        <v>Equity Risk Premium</v>
      </c>
      <c r="P50" s="477" t="str">
        <f>'Financial Inputs'!U194</f>
        <v>%</v>
      </c>
      <c r="Q50" s="421">
        <f>'Financial Inputs'!V194</f>
        <v>2.0000000000000004E-2</v>
      </c>
      <c r="R50" s="411"/>
      <c r="S50" s="1"/>
      <c r="T50" s="1"/>
      <c r="W50" s="1"/>
    </row>
    <row r="51" spans="15:23" ht="15.75" x14ac:dyDescent="0.25">
      <c r="O51" s="411" t="str">
        <f>'Financial Inputs'!T195</f>
        <v>Target After-Tax Equity IRR</v>
      </c>
      <c r="P51" s="477" t="str">
        <f>'Financial Inputs'!U195</f>
        <v>%</v>
      </c>
      <c r="Q51" s="478">
        <f>'Financial Inputs'!V195</f>
        <v>0.10000000000000007</v>
      </c>
      <c r="R51" s="411"/>
      <c r="S51" s="1"/>
      <c r="T51" s="1"/>
      <c r="U51" s="1"/>
      <c r="V51" s="1"/>
      <c r="W51" s="1"/>
    </row>
    <row r="52" spans="15:23" ht="16.5" thickBot="1" x14ac:dyDescent="0.3">
      <c r="O52" s="1"/>
      <c r="P52" s="1"/>
      <c r="Q52" s="1"/>
      <c r="R52" s="1"/>
      <c r="S52" s="1"/>
      <c r="T52" s="1"/>
      <c r="U52" s="1"/>
      <c r="V52" s="1"/>
      <c r="W52" s="1"/>
    </row>
    <row r="53" spans="15:23" ht="16.5" thickBot="1" x14ac:dyDescent="0.3">
      <c r="O53" s="2" t="str">
        <f>'Financial Inputs'!T198</f>
        <v>"Real" Inflation rate sensitivity analysis</v>
      </c>
      <c r="P53" s="438"/>
      <c r="Q53" s="438"/>
      <c r="R53" s="439"/>
      <c r="S53" s="1"/>
      <c r="T53" s="1"/>
      <c r="U53" s="1"/>
      <c r="V53" s="1"/>
      <c r="W53" s="1"/>
    </row>
    <row r="54" spans="15:23" ht="30" x14ac:dyDescent="0.25">
      <c r="O54" s="400" t="str">
        <f>'Financial Inputs'!T199</f>
        <v>"Real" interest rate</v>
      </c>
      <c r="P54" s="475" t="str">
        <f>'Financial Inputs'!U199</f>
        <v>Nominal interest rate</v>
      </c>
      <c r="Q54" s="475" t="str">
        <f>'Financial Inputs'!V199</f>
        <v>Target rate of return</v>
      </c>
      <c r="R54" s="431"/>
      <c r="S54" s="1"/>
      <c r="T54" s="1"/>
      <c r="U54" s="1"/>
      <c r="V54" s="1"/>
      <c r="W54" s="1"/>
    </row>
    <row r="55" spans="15:23" ht="15.75" x14ac:dyDescent="0.25">
      <c r="O55" s="411" t="str">
        <f>'Financial Inputs'!T200</f>
        <v>%/year</v>
      </c>
      <c r="P55" s="474">
        <f>'Financial Inputs'!U200</f>
        <v>8.0000000000000071E-2</v>
      </c>
      <c r="Q55" s="474">
        <f>'Financial Inputs'!V200</f>
        <v>0.10000000000000007</v>
      </c>
      <c r="R55" s="465"/>
      <c r="S55" s="1"/>
      <c r="T55" s="1"/>
      <c r="U55" s="1"/>
      <c r="V55" s="1"/>
      <c r="W55" s="1"/>
    </row>
    <row r="56" spans="15:23" ht="15.75" x14ac:dyDescent="0.25">
      <c r="O56" s="422">
        <f>'Financial Inputs'!T201</f>
        <v>-0.02</v>
      </c>
      <c r="P56" s="440">
        <f>'Financial Inputs'!U201</f>
        <v>-3.9999999999995595E-4</v>
      </c>
      <c r="Q56" s="440">
        <f>'Financial Inputs'!V201</f>
        <v>1.9600000000000048E-2</v>
      </c>
      <c r="R56" s="412"/>
      <c r="S56" s="1"/>
      <c r="T56" s="1"/>
      <c r="U56" s="1"/>
      <c r="V56" s="1"/>
      <c r="W56" s="1"/>
    </row>
    <row r="57" spans="15:23" ht="15.75" x14ac:dyDescent="0.25">
      <c r="O57" s="422">
        <f>'Financial Inputs'!T202</f>
        <v>0</v>
      </c>
      <c r="P57" s="440">
        <f>'Financial Inputs'!U202</f>
        <v>2.0000000000000018E-2</v>
      </c>
      <c r="Q57" s="440">
        <f>'Financial Inputs'!V202</f>
        <v>4.0000000000000022E-2</v>
      </c>
      <c r="R57" s="412"/>
      <c r="S57" s="1"/>
      <c r="T57" s="1"/>
      <c r="U57" s="1"/>
      <c r="V57" s="1"/>
      <c r="W57" s="1"/>
    </row>
    <row r="58" spans="15:23" ht="15.75" x14ac:dyDescent="0.25">
      <c r="O58" s="422">
        <f>'Financial Inputs'!T203</f>
        <v>0.02</v>
      </c>
      <c r="P58" s="440">
        <f>'Financial Inputs'!U203</f>
        <v>4.0399999999999991E-2</v>
      </c>
      <c r="Q58" s="440">
        <f>'Financial Inputs'!V203</f>
        <v>6.0399999999999995E-2</v>
      </c>
      <c r="R58" s="413"/>
      <c r="S58" s="1"/>
      <c r="T58" s="1"/>
      <c r="U58" s="1"/>
      <c r="V58" s="1"/>
      <c r="W58" s="1"/>
    </row>
    <row r="59" spans="15:23" ht="15.75" x14ac:dyDescent="0.25">
      <c r="O59" s="422">
        <f>'Financial Inputs'!T204</f>
        <v>3.9999999999999994E-2</v>
      </c>
      <c r="P59" s="440">
        <f>'Financial Inputs'!U204</f>
        <v>6.0799999999999965E-2</v>
      </c>
      <c r="Q59" s="440">
        <f>'Financial Inputs'!V204</f>
        <v>8.0799999999999969E-2</v>
      </c>
      <c r="R59" s="412"/>
      <c r="S59" s="1"/>
      <c r="T59" s="1"/>
      <c r="U59" s="1"/>
      <c r="V59" s="1"/>
      <c r="W59" s="1"/>
    </row>
    <row r="60" spans="15:23" ht="15.75" x14ac:dyDescent="0.25">
      <c r="O60" s="422">
        <f>'Financial Inputs'!T205</f>
        <v>0.06</v>
      </c>
      <c r="P60" s="440">
        <f>'Financial Inputs'!U205</f>
        <v>8.1200000000000161E-2</v>
      </c>
      <c r="Q60" s="440">
        <f>'Financial Inputs'!V205</f>
        <v>0.10120000000000016</v>
      </c>
      <c r="R60" s="412"/>
      <c r="S60" s="1"/>
      <c r="T60" s="1"/>
      <c r="U60" s="1"/>
      <c r="V60" s="1"/>
      <c r="W60" s="1"/>
    </row>
  </sheetData>
  <sheetProtection sheet="1" objects="1" scenarios="1"/>
  <pageMargins left="0.7" right="0.7" top="0.75" bottom="0.75" header="0.3" footer="0.3"/>
  <pageSetup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FDCEE-1E5A-4955-9A4A-986E1BA0D9E8}">
  <sheetPr codeName="Sheet4"/>
  <dimension ref="A1:L67"/>
  <sheetViews>
    <sheetView workbookViewId="0"/>
  </sheetViews>
  <sheetFormatPr defaultRowHeight="15" x14ac:dyDescent="0.25"/>
  <cols>
    <col min="1" max="1" width="40.85546875" customWidth="1"/>
    <col min="2" max="2" width="28.7109375" customWidth="1"/>
    <col min="3" max="3" width="12.7109375" customWidth="1"/>
    <col min="4" max="4" width="13.140625" customWidth="1"/>
    <col min="5" max="5" width="15.5703125" customWidth="1"/>
    <col min="6" max="9" width="15.85546875" customWidth="1"/>
    <col min="10" max="10" width="12" customWidth="1"/>
  </cols>
  <sheetData>
    <row r="1" spans="1:4" x14ac:dyDescent="0.25">
      <c r="A1" s="576" t="s">
        <v>519</v>
      </c>
    </row>
    <row r="2" spans="1:4" x14ac:dyDescent="0.25">
      <c r="A2" t="s">
        <v>520</v>
      </c>
      <c r="B2" t="s">
        <v>521</v>
      </c>
      <c r="C2" t="s">
        <v>522</v>
      </c>
      <c r="D2" t="s">
        <v>37</v>
      </c>
    </row>
    <row r="3" spans="1:4" x14ac:dyDescent="0.25">
      <c r="A3" t="s">
        <v>523</v>
      </c>
      <c r="B3" t="s">
        <v>456</v>
      </c>
      <c r="C3" t="s">
        <v>9</v>
      </c>
      <c r="D3">
        <v>1</v>
      </c>
    </row>
    <row r="4" spans="1:4" x14ac:dyDescent="0.25">
      <c r="A4" t="s">
        <v>524</v>
      </c>
      <c r="B4" t="s">
        <v>525</v>
      </c>
      <c r="C4" t="s">
        <v>105</v>
      </c>
      <c r="D4">
        <v>2</v>
      </c>
    </row>
    <row r="5" spans="1:4" x14ac:dyDescent="0.25">
      <c r="B5" t="s">
        <v>526</v>
      </c>
      <c r="D5">
        <v>3</v>
      </c>
    </row>
    <row r="6" spans="1:4" x14ac:dyDescent="0.25">
      <c r="B6" t="s">
        <v>447</v>
      </c>
      <c r="D6">
        <v>4</v>
      </c>
    </row>
    <row r="7" spans="1:4" x14ac:dyDescent="0.25">
      <c r="D7">
        <v>5</v>
      </c>
    </row>
    <row r="8" spans="1:4" x14ac:dyDescent="0.25">
      <c r="D8">
        <v>6</v>
      </c>
    </row>
    <row r="9" spans="1:4" x14ac:dyDescent="0.25">
      <c r="D9">
        <v>7</v>
      </c>
    </row>
    <row r="10" spans="1:4" x14ac:dyDescent="0.25">
      <c r="D10">
        <v>8</v>
      </c>
    </row>
    <row r="11" spans="1:4" x14ac:dyDescent="0.25">
      <c r="D11">
        <v>9</v>
      </c>
    </row>
    <row r="12" spans="1:4" x14ac:dyDescent="0.25">
      <c r="D12">
        <v>10</v>
      </c>
    </row>
    <row r="13" spans="1:4" x14ac:dyDescent="0.25">
      <c r="D13">
        <v>11</v>
      </c>
    </row>
    <row r="14" spans="1:4" x14ac:dyDescent="0.25">
      <c r="D14">
        <v>12</v>
      </c>
    </row>
    <row r="15" spans="1:4" x14ac:dyDescent="0.25">
      <c r="D15">
        <v>13</v>
      </c>
    </row>
    <row r="16" spans="1:4" x14ac:dyDescent="0.25">
      <c r="D16">
        <v>14</v>
      </c>
    </row>
    <row r="17" spans="1:12" x14ac:dyDescent="0.25">
      <c r="D17">
        <v>15</v>
      </c>
    </row>
    <row r="18" spans="1:12" x14ac:dyDescent="0.25">
      <c r="D18" t="s">
        <v>527</v>
      </c>
    </row>
    <row r="22" spans="1:12" x14ac:dyDescent="0.25">
      <c r="A22" t="s">
        <v>659</v>
      </c>
      <c r="B22" s="805">
        <v>7</v>
      </c>
    </row>
    <row r="23" spans="1:12" x14ac:dyDescent="0.25">
      <c r="A23" t="s">
        <v>657</v>
      </c>
      <c r="B23">
        <f>COUNTA(B27:B1002)</f>
        <v>36</v>
      </c>
    </row>
    <row r="24" spans="1:12" x14ac:dyDescent="0.25">
      <c r="A24" t="s">
        <v>658</v>
      </c>
      <c r="B24">
        <f ca="1">COUNTA($C$27:OFFSET($C$27,0,100))</f>
        <v>8</v>
      </c>
    </row>
    <row r="25" spans="1:12" x14ac:dyDescent="0.25">
      <c r="D25">
        <v>1</v>
      </c>
      <c r="E25">
        <v>2</v>
      </c>
      <c r="F25">
        <v>3</v>
      </c>
      <c r="G25">
        <v>4</v>
      </c>
      <c r="H25">
        <v>5</v>
      </c>
      <c r="I25">
        <v>6</v>
      </c>
      <c r="J25">
        <v>7</v>
      </c>
    </row>
    <row r="26" spans="1:12" ht="15.75" x14ac:dyDescent="0.25">
      <c r="D26" s="445" t="s">
        <v>643</v>
      </c>
      <c r="E26" s="445" t="s">
        <v>644</v>
      </c>
      <c r="F26" t="s">
        <v>650</v>
      </c>
      <c r="G26" t="s">
        <v>651</v>
      </c>
      <c r="H26" t="s">
        <v>652</v>
      </c>
      <c r="I26" t="s">
        <v>653</v>
      </c>
      <c r="J26" t="s">
        <v>666</v>
      </c>
    </row>
    <row r="27" spans="1:12" x14ac:dyDescent="0.25">
      <c r="A27" t="str">
        <f>'Key inputs &amp; Outputs'!Q101</f>
        <v>Food Waste Volume</v>
      </c>
      <c r="B27" t="s">
        <v>745</v>
      </c>
      <c r="C27" t="str">
        <f ca="1">'Key inputs &amp; Outputs'!R101</f>
        <v>$F$6</v>
      </c>
      <c r="D27" s="783">
        <v>0</v>
      </c>
      <c r="E27" s="786">
        <v>20000</v>
      </c>
      <c r="F27" s="786">
        <v>20000</v>
      </c>
      <c r="G27" s="786">
        <v>20000</v>
      </c>
      <c r="H27" s="786">
        <v>20000</v>
      </c>
      <c r="I27" s="786">
        <v>20000</v>
      </c>
      <c r="J27" s="786">
        <v>36500</v>
      </c>
    </row>
    <row r="28" spans="1:12" ht="15.75" x14ac:dyDescent="0.25">
      <c r="A28" t="str">
        <f>'Key inputs &amp; Outputs'!Q102</f>
        <v>Biogas Generation per Day</v>
      </c>
      <c r="B28" t="s">
        <v>746</v>
      </c>
      <c r="C28" s="252">
        <f ca="1">'Financial Inputs'!G121</f>
        <v>405.49126514620104</v>
      </c>
      <c r="D28" s="784">
        <v>60000</v>
      </c>
      <c r="E28" s="786">
        <v>200000</v>
      </c>
      <c r="F28" s="786">
        <v>200000</v>
      </c>
      <c r="G28" s="786">
        <v>200000</v>
      </c>
      <c r="H28" s="786">
        <v>200000</v>
      </c>
      <c r="I28" s="786">
        <v>200000</v>
      </c>
      <c r="J28" s="786">
        <v>240000</v>
      </c>
      <c r="L28" s="452"/>
    </row>
    <row r="29" spans="1:12" x14ac:dyDescent="0.25">
      <c r="A29" t="str">
        <f>'Financial Inputs'!E121</f>
        <v>Generator Nameplate Capacity</v>
      </c>
      <c r="B29" t="s">
        <v>745</v>
      </c>
      <c r="C29" t="str">
        <f ca="1">'Financial Inputs'!F121</f>
        <v>$G$9</v>
      </c>
      <c r="D29" s="783">
        <v>125</v>
      </c>
      <c r="E29" s="787">
        <v>400</v>
      </c>
      <c r="F29" s="787">
        <v>400</v>
      </c>
      <c r="G29" s="787">
        <v>400</v>
      </c>
      <c r="H29" s="787">
        <v>400</v>
      </c>
      <c r="I29" s="787">
        <v>400</v>
      </c>
      <c r="J29" s="787">
        <v>500</v>
      </c>
    </row>
    <row r="30" spans="1:12" ht="30" x14ac:dyDescent="0.25">
      <c r="A30" t="str">
        <f>'Financial Inputs'!E122</f>
        <v>Select Cost Level of Detail</v>
      </c>
      <c r="B30" t="s">
        <v>746</v>
      </c>
      <c r="C30" t="str">
        <f ca="1">'Financial Inputs'!F122</f>
        <v>$G$29</v>
      </c>
      <c r="D30" s="783" t="s">
        <v>620</v>
      </c>
      <c r="E30" s="787" t="s">
        <v>637</v>
      </c>
      <c r="F30" s="787" t="s">
        <v>637</v>
      </c>
      <c r="G30" s="787" t="s">
        <v>637</v>
      </c>
      <c r="H30" s="787" t="s">
        <v>637</v>
      </c>
      <c r="I30" s="787" t="s">
        <v>637</v>
      </c>
      <c r="J30" s="787" t="s">
        <v>637</v>
      </c>
    </row>
    <row r="31" spans="1:12" x14ac:dyDescent="0.25">
      <c r="A31" t="str">
        <f>'Financial Inputs'!E123</f>
        <v>Total Installed Cost</v>
      </c>
      <c r="B31" t="s">
        <v>746</v>
      </c>
      <c r="C31" t="str">
        <f ca="1">'Financial Inputs'!F123</f>
        <v>$G$38</v>
      </c>
      <c r="D31">
        <v>5000</v>
      </c>
      <c r="E31">
        <v>5000</v>
      </c>
      <c r="F31">
        <v>5000</v>
      </c>
      <c r="G31">
        <v>5000</v>
      </c>
      <c r="H31">
        <v>5000</v>
      </c>
      <c r="I31">
        <v>5000</v>
      </c>
      <c r="J31">
        <v>5000</v>
      </c>
    </row>
    <row r="32" spans="1:12" x14ac:dyDescent="0.25">
      <c r="A32" t="str">
        <f>'Financial Inputs'!E124</f>
        <v>Generation Equipment</v>
      </c>
      <c r="B32" t="s">
        <v>746</v>
      </c>
      <c r="C32" t="str">
        <f ca="1">'Financial Inputs'!F124</f>
        <v>$G$34</v>
      </c>
      <c r="D32" s="783">
        <v>0</v>
      </c>
      <c r="E32" s="788">
        <v>400000</v>
      </c>
      <c r="F32" s="788">
        <v>400000</v>
      </c>
      <c r="G32" s="788">
        <v>400000</v>
      </c>
      <c r="H32" s="788">
        <v>400000</v>
      </c>
      <c r="I32" s="788">
        <v>400000</v>
      </c>
      <c r="J32" s="788">
        <v>1100000</v>
      </c>
    </row>
    <row r="33" spans="1:10" x14ac:dyDescent="0.25">
      <c r="A33" t="str">
        <f>'Financial Inputs'!E125</f>
        <v>Balance of Plant</v>
      </c>
      <c r="B33" t="s">
        <v>746</v>
      </c>
      <c r="C33" t="str">
        <f ca="1">'Financial Inputs'!F125</f>
        <v>$G$35</v>
      </c>
      <c r="D33" s="783">
        <v>0</v>
      </c>
      <c r="E33" s="788">
        <v>1440000</v>
      </c>
      <c r="F33" s="788">
        <v>1440000</v>
      </c>
      <c r="G33" s="788">
        <v>1440000</v>
      </c>
      <c r="H33" s="788">
        <v>1440000</v>
      </c>
      <c r="I33" s="788">
        <v>1440000</v>
      </c>
      <c r="J33" s="788">
        <v>3960000</v>
      </c>
    </row>
    <row r="34" spans="1:10" x14ac:dyDescent="0.25">
      <c r="A34" t="str">
        <f>'Financial Inputs'!E126</f>
        <v>Interconnection</v>
      </c>
      <c r="B34" t="s">
        <v>746</v>
      </c>
      <c r="C34" t="str">
        <f ca="1">'Financial Inputs'!F126</f>
        <v>$G$36</v>
      </c>
      <c r="D34" s="783">
        <v>0</v>
      </c>
      <c r="E34" s="788">
        <v>160000</v>
      </c>
      <c r="F34" s="788">
        <v>160000</v>
      </c>
      <c r="G34" s="788">
        <v>160000</v>
      </c>
      <c r="H34" s="788">
        <v>160000</v>
      </c>
      <c r="I34" s="788">
        <v>160000</v>
      </c>
      <c r="J34" s="788">
        <v>440000</v>
      </c>
    </row>
    <row r="35" spans="1:10" x14ac:dyDescent="0.25">
      <c r="A35" t="str">
        <f>'Financial Inputs'!E127</f>
        <v>Development Costs &amp; Fee</v>
      </c>
      <c r="B35" t="s">
        <v>746</v>
      </c>
      <c r="C35" t="str">
        <f ca="1">'Financial Inputs'!F127</f>
        <v>$G$37</v>
      </c>
      <c r="D35" s="783">
        <v>0</v>
      </c>
      <c r="E35" s="788">
        <v>0</v>
      </c>
      <c r="F35" s="788">
        <v>0</v>
      </c>
      <c r="G35" s="788">
        <v>0</v>
      </c>
      <c r="H35" s="788">
        <v>0</v>
      </c>
      <c r="I35" s="788">
        <v>0</v>
      </c>
      <c r="J35" s="788">
        <v>0</v>
      </c>
    </row>
    <row r="36" spans="1:10" x14ac:dyDescent="0.25">
      <c r="A36" t="str">
        <f>'Financial Inputs'!E128</f>
        <v>Decommissioning</v>
      </c>
      <c r="B36" t="s">
        <v>746</v>
      </c>
      <c r="C36" t="str">
        <f ca="1">'Financial Inputs'!F128</f>
        <v>$G$43</v>
      </c>
      <c r="D36" s="785">
        <v>100000</v>
      </c>
      <c r="E36" s="788">
        <v>200000</v>
      </c>
      <c r="F36" s="788">
        <v>200000</v>
      </c>
      <c r="G36" s="788">
        <v>200000</v>
      </c>
      <c r="H36" s="788">
        <v>200000</v>
      </c>
      <c r="I36" s="788">
        <v>200000</v>
      </c>
      <c r="J36" s="788">
        <v>51000</v>
      </c>
    </row>
    <row r="37" spans="1:10" x14ac:dyDescent="0.25">
      <c r="A37" t="str">
        <f>'Financial Inputs'!E129</f>
        <v>Fixed O&amp;M Expense</v>
      </c>
      <c r="B37" t="s">
        <v>746</v>
      </c>
      <c r="C37" t="str">
        <f ca="1">'Financial Inputs'!F129</f>
        <v>$G$48</v>
      </c>
      <c r="D37" s="785">
        <v>50000</v>
      </c>
      <c r="E37" s="788">
        <v>100000</v>
      </c>
      <c r="F37" s="788">
        <v>100000</v>
      </c>
      <c r="G37" s="788">
        <v>100000</v>
      </c>
      <c r="H37" s="788">
        <v>100000</v>
      </c>
      <c r="I37" s="788">
        <v>100000</v>
      </c>
      <c r="J37" s="788">
        <v>50000</v>
      </c>
    </row>
    <row r="38" spans="1:10" x14ac:dyDescent="0.25">
      <c r="A38" t="str">
        <f>'Financial Inputs'!E130</f>
        <v>Sludge cleanout cost</v>
      </c>
      <c r="B38" t="s">
        <v>746</v>
      </c>
      <c r="C38" t="str">
        <f ca="1">'Financial Inputs'!F130</f>
        <v>$G$54</v>
      </c>
      <c r="D38" s="785">
        <v>200000</v>
      </c>
      <c r="E38" s="788">
        <v>600000</v>
      </c>
      <c r="F38" s="788">
        <v>600000</v>
      </c>
      <c r="G38" s="788">
        <v>600000</v>
      </c>
      <c r="H38" s="788">
        <v>600000</v>
      </c>
      <c r="I38" s="788">
        <v>600000</v>
      </c>
      <c r="J38" s="788">
        <v>200000</v>
      </c>
    </row>
    <row r="39" spans="1:10" x14ac:dyDescent="0.25">
      <c r="A39" t="str">
        <f>'Financial Inputs'!E131</f>
        <v>Engine Replacement Cost</v>
      </c>
      <c r="B39" t="s">
        <v>746</v>
      </c>
      <c r="C39" t="str">
        <f ca="1">'Financial Inputs'!F131</f>
        <v>$G$51</v>
      </c>
      <c r="D39" s="785">
        <v>100000</v>
      </c>
      <c r="E39" s="788">
        <v>400000</v>
      </c>
      <c r="F39" s="788">
        <v>400000</v>
      </c>
      <c r="G39" s="788">
        <v>400000</v>
      </c>
      <c r="H39" s="788">
        <v>400000</v>
      </c>
      <c r="I39" s="788">
        <v>400000</v>
      </c>
      <c r="J39" s="788">
        <v>65000</v>
      </c>
    </row>
    <row r="40" spans="1:10" x14ac:dyDescent="0.25">
      <c r="A40" t="str">
        <f>'Key inputs &amp; Outputs'!Q104</f>
        <v>Tipping Fee</v>
      </c>
      <c r="B40" t="s">
        <v>745</v>
      </c>
      <c r="C40" t="str">
        <f ca="1">'Key inputs &amp; Outputs'!R104</f>
        <v>$F$9</v>
      </c>
      <c r="D40" s="785">
        <v>0</v>
      </c>
      <c r="E40" s="788">
        <v>15</v>
      </c>
      <c r="F40" s="788">
        <v>15</v>
      </c>
      <c r="G40" s="788">
        <v>15</v>
      </c>
      <c r="H40" s="788">
        <v>15</v>
      </c>
      <c r="I40" s="788">
        <v>15</v>
      </c>
      <c r="J40" s="788">
        <v>10</v>
      </c>
    </row>
    <row r="41" spans="1:10" x14ac:dyDescent="0.25">
      <c r="A41" t="str">
        <f>'Financial Inputs'!E132</f>
        <v>Avoided Cost of Waste Heat</v>
      </c>
      <c r="B41" t="s">
        <v>746</v>
      </c>
      <c r="C41" t="str">
        <f ca="1">'Financial Inputs'!F132</f>
        <v>$P$11</v>
      </c>
      <c r="D41" s="785">
        <v>10000</v>
      </c>
      <c r="E41" s="788">
        <v>43000</v>
      </c>
      <c r="F41" s="788">
        <v>43000</v>
      </c>
      <c r="G41" s="788">
        <v>43000</v>
      </c>
      <c r="H41" s="788">
        <v>43000</v>
      </c>
      <c r="I41" s="788">
        <v>43000</v>
      </c>
      <c r="J41" s="788">
        <v>43000</v>
      </c>
    </row>
    <row r="42" spans="1:10" x14ac:dyDescent="0.25">
      <c r="A42" t="str">
        <f>'Nutrient Inputs'!C114</f>
        <v>Manure total N content</v>
      </c>
      <c r="B42" t="s">
        <v>747</v>
      </c>
      <c r="C42" t="str">
        <f ca="1">'Nutrient Inputs'!D114</f>
        <v>$D$42</v>
      </c>
      <c r="D42" s="795">
        <v>27.4</v>
      </c>
      <c r="E42" s="795">
        <v>27.4</v>
      </c>
      <c r="F42" s="795">
        <v>27.4</v>
      </c>
      <c r="G42" s="795">
        <v>27.4</v>
      </c>
      <c r="H42" s="795">
        <v>27.4</v>
      </c>
      <c r="I42" s="795">
        <v>25.54</v>
      </c>
      <c r="J42" s="795">
        <v>25.54</v>
      </c>
    </row>
    <row r="43" spans="1:10" x14ac:dyDescent="0.25">
      <c r="A43" t="str">
        <f>'Nutrient Inputs'!C115</f>
        <v>Manure ammonium N content</v>
      </c>
      <c r="B43" t="s">
        <v>747</v>
      </c>
      <c r="C43" t="str">
        <f ca="1">'Nutrient Inputs'!D115</f>
        <v>$E$42</v>
      </c>
      <c r="D43" s="795">
        <v>12.3</v>
      </c>
      <c r="E43" s="795">
        <v>12.3</v>
      </c>
      <c r="F43" s="795">
        <v>12.3</v>
      </c>
      <c r="G43" s="795">
        <v>12.3</v>
      </c>
      <c r="H43" s="795">
        <v>12.3</v>
      </c>
      <c r="I43" s="795">
        <v>19.77</v>
      </c>
      <c r="J43" s="795">
        <v>19.77</v>
      </c>
    </row>
    <row r="44" spans="1:10" x14ac:dyDescent="0.25">
      <c r="A44" t="str">
        <f>'Nutrient Inputs'!C116</f>
        <v>Manure P content</v>
      </c>
      <c r="B44" t="s">
        <v>747</v>
      </c>
      <c r="C44" t="str">
        <f ca="1">'Nutrient Inputs'!D116</f>
        <v>$G$42</v>
      </c>
      <c r="D44" s="795">
        <v>13.15</v>
      </c>
      <c r="E44" s="795">
        <v>13.15</v>
      </c>
      <c r="F44" s="795">
        <v>13.15</v>
      </c>
      <c r="G44" s="795">
        <v>13.15</v>
      </c>
      <c r="H44" s="795">
        <v>13.15</v>
      </c>
      <c r="I44" s="795">
        <v>4.55</v>
      </c>
      <c r="J44" s="795">
        <v>4.55</v>
      </c>
    </row>
    <row r="45" spans="1:10" x14ac:dyDescent="0.25">
      <c r="A45" t="str">
        <f>'Nutrient Inputs'!C117</f>
        <v>Manure K content</v>
      </c>
      <c r="B45" t="s">
        <v>747</v>
      </c>
      <c r="C45" t="str">
        <f ca="1">'Nutrient Inputs'!D117</f>
        <v>$H$42</v>
      </c>
      <c r="D45" s="795">
        <v>24.55</v>
      </c>
      <c r="E45" s="795">
        <v>24.55</v>
      </c>
      <c r="F45" s="795">
        <v>24.55</v>
      </c>
      <c r="G45" s="795">
        <v>24.55</v>
      </c>
      <c r="H45" s="795">
        <v>24.55</v>
      </c>
      <c r="I45" s="795">
        <v>24.55</v>
      </c>
      <c r="J45" s="795">
        <v>24.55</v>
      </c>
    </row>
    <row r="46" spans="1:10" x14ac:dyDescent="0.25">
      <c r="A46" t="s">
        <v>530</v>
      </c>
      <c r="B46" t="s">
        <v>747</v>
      </c>
      <c r="C46" t="str">
        <f ca="1">'Nutrient Inputs'!D118</f>
        <v>$E$7</v>
      </c>
      <c r="D46" s="484">
        <v>0</v>
      </c>
      <c r="E46" s="484">
        <v>0.1</v>
      </c>
      <c r="F46" s="484">
        <v>0.1</v>
      </c>
      <c r="G46" s="484">
        <v>0.1</v>
      </c>
      <c r="H46" s="484">
        <v>0.1</v>
      </c>
      <c r="I46" s="600">
        <v>0.1</v>
      </c>
      <c r="J46" s="600">
        <v>0.2</v>
      </c>
    </row>
    <row r="47" spans="1:10" x14ac:dyDescent="0.25">
      <c r="A47" t="s">
        <v>645</v>
      </c>
      <c r="B47" t="s">
        <v>747</v>
      </c>
      <c r="C47" t="str">
        <f ca="1">'Nutrient Inputs'!D119</f>
        <v>$D$43</v>
      </c>
      <c r="D47" s="795">
        <v>0</v>
      </c>
      <c r="E47" s="795">
        <v>27.4</v>
      </c>
      <c r="F47" s="795">
        <v>27.4</v>
      </c>
      <c r="G47" s="795">
        <v>27.4</v>
      </c>
      <c r="H47" s="795">
        <v>27.4</v>
      </c>
      <c r="I47" s="795">
        <v>27.4</v>
      </c>
      <c r="J47" s="795">
        <v>27.4</v>
      </c>
    </row>
    <row r="48" spans="1:10" x14ac:dyDescent="0.25">
      <c r="A48" t="s">
        <v>646</v>
      </c>
      <c r="B48" t="s">
        <v>747</v>
      </c>
      <c r="C48" t="str">
        <f ca="1">'Nutrient Inputs'!D120</f>
        <v>$E$43</v>
      </c>
      <c r="D48" s="795">
        <v>0</v>
      </c>
      <c r="E48" s="795">
        <v>24.55</v>
      </c>
      <c r="F48" s="795">
        <v>24.55</v>
      </c>
      <c r="G48" s="795">
        <v>24.55</v>
      </c>
      <c r="H48" s="795">
        <v>24.55</v>
      </c>
      <c r="I48" s="795">
        <v>12.3</v>
      </c>
      <c r="J48" s="795">
        <v>12.3</v>
      </c>
    </row>
    <row r="49" spans="1:10" x14ac:dyDescent="0.25">
      <c r="A49" t="s">
        <v>647</v>
      </c>
      <c r="B49" t="s">
        <v>747</v>
      </c>
      <c r="C49" t="str">
        <f ca="1">'Nutrient Inputs'!D121</f>
        <v>$G$43</v>
      </c>
      <c r="D49" s="795">
        <v>0</v>
      </c>
      <c r="E49" s="795">
        <v>12.3</v>
      </c>
      <c r="F49" s="795">
        <v>12.3</v>
      </c>
      <c r="G49" s="795">
        <v>12.3</v>
      </c>
      <c r="H49" s="795">
        <v>12.3</v>
      </c>
      <c r="I49" s="795">
        <v>13.15</v>
      </c>
      <c r="J49" s="795">
        <v>9.5</v>
      </c>
    </row>
    <row r="50" spans="1:10" x14ac:dyDescent="0.25">
      <c r="A50" t="s">
        <v>648</v>
      </c>
      <c r="B50" t="s">
        <v>747</v>
      </c>
      <c r="C50" t="str">
        <f ca="1">'Nutrient Inputs'!D122</f>
        <v>$H$43</v>
      </c>
      <c r="D50" s="795">
        <v>0</v>
      </c>
      <c r="E50" s="795">
        <v>13.15</v>
      </c>
      <c r="F50" s="795">
        <v>13.15</v>
      </c>
      <c r="G50" s="795">
        <v>13.15</v>
      </c>
      <c r="H50" s="795">
        <v>13.15</v>
      </c>
      <c r="I50" s="795">
        <v>24.55</v>
      </c>
      <c r="J50" s="795">
        <v>24.55</v>
      </c>
    </row>
    <row r="51" spans="1:10" x14ac:dyDescent="0.25">
      <c r="A51" t="str">
        <f>'Nutrient Inputs'!C123</f>
        <v>Filtrate ammonium N avail</v>
      </c>
      <c r="B51" t="s">
        <v>747</v>
      </c>
      <c r="C51" t="str">
        <f ca="1">'Nutrient Inputs'!D123</f>
        <v>$E$51</v>
      </c>
      <c r="D51" s="410">
        <v>0.5</v>
      </c>
      <c r="E51" s="410">
        <v>0.5</v>
      </c>
      <c r="F51" s="410">
        <v>0.5</v>
      </c>
      <c r="G51" s="410">
        <v>0.5</v>
      </c>
      <c r="H51" s="410">
        <v>0.6</v>
      </c>
      <c r="I51" s="410">
        <v>0.5</v>
      </c>
      <c r="J51" s="410">
        <v>0.5</v>
      </c>
    </row>
    <row r="52" spans="1:10" x14ac:dyDescent="0.25">
      <c r="A52" t="str">
        <f>'Nutrient Inputs'!C124</f>
        <v>Manure % total solids</v>
      </c>
      <c r="B52" t="s">
        <v>747</v>
      </c>
      <c r="C52" t="str">
        <f ca="1">'Nutrient Inputs'!D124</f>
        <v>$E$6</v>
      </c>
      <c r="D52" s="484">
        <v>0.13</v>
      </c>
      <c r="E52" s="484">
        <v>0.13</v>
      </c>
      <c r="F52" s="484">
        <v>0.13</v>
      </c>
      <c r="G52" s="484">
        <v>0.13</v>
      </c>
      <c r="H52" s="484">
        <v>0.13</v>
      </c>
      <c r="I52" s="484">
        <v>0.13</v>
      </c>
      <c r="J52" s="484">
        <v>0.13</v>
      </c>
    </row>
    <row r="53" spans="1:10" x14ac:dyDescent="0.25">
      <c r="A53" t="str">
        <f>'Nutrient Inputs'!C125</f>
        <v>Food waste % total solids</v>
      </c>
      <c r="B53" t="s">
        <v>747</v>
      </c>
      <c r="C53" t="str">
        <f ca="1">'Nutrient Inputs'!D125</f>
        <v>$E$7</v>
      </c>
      <c r="D53" s="484">
        <v>0</v>
      </c>
      <c r="E53" s="484">
        <v>0.1</v>
      </c>
      <c r="F53" s="484">
        <v>0.1</v>
      </c>
      <c r="G53" s="484">
        <v>0.1</v>
      </c>
      <c r="H53" s="484">
        <v>0.1</v>
      </c>
      <c r="I53" s="484">
        <v>0.1</v>
      </c>
      <c r="J53" s="484">
        <v>0.1</v>
      </c>
    </row>
    <row r="54" spans="1:10" x14ac:dyDescent="0.25">
      <c r="A54" t="str">
        <f>'Nutrient Inputs'!C126</f>
        <v>Filtrate % solids</v>
      </c>
      <c r="B54" t="s">
        <v>747</v>
      </c>
      <c r="C54" t="e">
        <f ca="1">'Nutrient Inputs'!D126</f>
        <v>#REF!</v>
      </c>
      <c r="D54" s="426">
        <v>0.37840000000000001</v>
      </c>
      <c r="E54" s="426">
        <v>0.25469999999999998</v>
      </c>
      <c r="F54" s="426">
        <v>0.25469999999999998</v>
      </c>
      <c r="G54" s="426">
        <v>0.25469999999999998</v>
      </c>
      <c r="H54" s="426">
        <v>0.25469999999999998</v>
      </c>
      <c r="I54" s="426">
        <v>0.2349</v>
      </c>
      <c r="J54" s="426">
        <v>0.3120339432624113</v>
      </c>
    </row>
    <row r="55" spans="1:10" x14ac:dyDescent="0.25">
      <c r="A55" t="str">
        <f>'Nutrient Inputs'!C127</f>
        <v>Wet solid digestate % solids</v>
      </c>
      <c r="B55" t="s">
        <v>747</v>
      </c>
      <c r="C55" t="str">
        <f ca="1">'Nutrient Inputs'!D127</f>
        <v>$E$21</v>
      </c>
      <c r="D55" s="426">
        <v>0.25769999999999998</v>
      </c>
      <c r="E55" s="426">
        <v>0.25120000000000003</v>
      </c>
      <c r="F55" s="426">
        <v>0.25120000000000003</v>
      </c>
      <c r="G55" s="426">
        <v>0.25120000000000003</v>
      </c>
      <c r="H55" s="426">
        <v>0.25120000000000003</v>
      </c>
      <c r="I55" s="426">
        <v>0.23010000000000003</v>
      </c>
      <c r="J55" s="426">
        <v>0.30005533387888711</v>
      </c>
    </row>
    <row r="56" spans="1:10" x14ac:dyDescent="0.25">
      <c r="A56" t="str">
        <f>Switchgrass_Key_Inputs!B88</f>
        <v>Include warm season grasses in the analysis?</v>
      </c>
      <c r="B56" t="s">
        <v>745</v>
      </c>
      <c r="C56" t="str">
        <f ca="1">'Key inputs &amp; Outputs'!R105</f>
        <v>$F$14</v>
      </c>
      <c r="D56" t="s">
        <v>105</v>
      </c>
      <c r="E56" t="s">
        <v>105</v>
      </c>
      <c r="F56" t="s">
        <v>9</v>
      </c>
      <c r="G56" t="s">
        <v>9</v>
      </c>
      <c r="H56" t="s">
        <v>105</v>
      </c>
      <c r="I56" t="s">
        <v>105</v>
      </c>
      <c r="J56" t="s">
        <v>105</v>
      </c>
    </row>
    <row r="57" spans="1:10" x14ac:dyDescent="0.25">
      <c r="A57" t="str">
        <f>Switchgrass_Key_Inputs!B89</f>
        <v>Acres of grass or vegetation to be digested</v>
      </c>
      <c r="B57" t="s">
        <v>745</v>
      </c>
      <c r="C57" t="str">
        <f ca="1">'Key inputs &amp; Outputs'!R106</f>
        <v>$F$15</v>
      </c>
      <c r="D57">
        <v>10</v>
      </c>
      <c r="E57">
        <v>10</v>
      </c>
      <c r="F57">
        <v>10</v>
      </c>
      <c r="G57">
        <v>10</v>
      </c>
      <c r="H57">
        <v>10</v>
      </c>
      <c r="I57">
        <v>10</v>
      </c>
      <c r="J57">
        <v>10</v>
      </c>
    </row>
    <row r="58" spans="1:10" x14ac:dyDescent="0.25">
      <c r="A58" t="e">
        <f>Switchgrass_Key_Inputs!B90</f>
        <v>#REF!</v>
      </c>
      <c r="B58" t="s">
        <v>649</v>
      </c>
      <c r="C58" t="str">
        <f ca="1">Switchgrass_Key_Inputs!C90</f>
        <v>'[psu040224.xlsx]Financial Inputs'!$G$26</v>
      </c>
      <c r="D58">
        <v>2</v>
      </c>
      <c r="E58">
        <v>2</v>
      </c>
      <c r="F58">
        <v>2</v>
      </c>
      <c r="G58">
        <v>6.1</v>
      </c>
      <c r="H58">
        <v>2</v>
      </c>
      <c r="I58">
        <v>2</v>
      </c>
      <c r="J58">
        <v>2</v>
      </c>
    </row>
    <row r="59" spans="1:10" x14ac:dyDescent="0.25">
      <c r="A59" t="str">
        <f>Switchgrass_Key_Inputs!B91</f>
        <v>Grass total N, % of dry matter</v>
      </c>
      <c r="B59" t="s">
        <v>649</v>
      </c>
      <c r="C59" t="str">
        <f ca="1">Switchgrass_Key_Inputs!C91</f>
        <v>'[psu040224.xlsx]Nutrient Inputs'!$D$44</v>
      </c>
      <c r="D59" s="799">
        <v>3.8999999999999998E-3</v>
      </c>
      <c r="E59" s="799">
        <v>3.8999999999999998E-3</v>
      </c>
      <c r="F59" s="799">
        <v>3.8999999999999998E-3</v>
      </c>
      <c r="G59" s="799">
        <v>1.29E-2</v>
      </c>
      <c r="H59" s="799">
        <v>3.8999999999999998E-3</v>
      </c>
      <c r="I59" s="799">
        <v>3.8999999999999998E-3</v>
      </c>
      <c r="J59" s="799">
        <v>3.8999999999999998E-3</v>
      </c>
    </row>
    <row r="60" spans="1:10" x14ac:dyDescent="0.25">
      <c r="A60" t="str">
        <f>Switchgrass_Key_Inputs!B92</f>
        <v>Grass ammonium N, % of dry matter</v>
      </c>
      <c r="B60" t="s">
        <v>649</v>
      </c>
      <c r="C60" t="str">
        <f ca="1">Switchgrass_Key_Inputs!C92</f>
        <v>'[psu040224.xlsx]Nutrient Inputs'!$E$44</v>
      </c>
      <c r="D60" s="800">
        <v>0</v>
      </c>
      <c r="E60" s="800">
        <v>0</v>
      </c>
      <c r="F60" s="800">
        <v>0</v>
      </c>
      <c r="G60" s="800">
        <v>0</v>
      </c>
      <c r="H60" s="800">
        <v>0</v>
      </c>
      <c r="I60" s="800">
        <v>0</v>
      </c>
      <c r="J60" s="800">
        <v>0</v>
      </c>
    </row>
    <row r="61" spans="1:10" x14ac:dyDescent="0.25">
      <c r="A61" t="str">
        <f>Switchgrass_Key_Inputs!B93</f>
        <v>Grass P, % of dry matter</v>
      </c>
      <c r="B61" t="s">
        <v>649</v>
      </c>
      <c r="C61" t="str">
        <f ca="1">Switchgrass_Key_Inputs!C93</f>
        <v>'[psu040224.xlsx]Nutrient Inputs'!$G$44</v>
      </c>
      <c r="D61" s="799">
        <v>8.0999999999999996E-4</v>
      </c>
      <c r="E61" s="799">
        <v>8.0999999999999996E-4</v>
      </c>
      <c r="F61" s="799">
        <v>8.0999999999999996E-4</v>
      </c>
      <c r="G61" s="799">
        <v>2.4199999999999998E-3</v>
      </c>
      <c r="H61" s="799">
        <v>8.0999999999999996E-4</v>
      </c>
      <c r="I61" s="799">
        <v>8.0999999999999996E-4</v>
      </c>
      <c r="J61" s="799">
        <v>8.0999999999999996E-4</v>
      </c>
    </row>
    <row r="62" spans="1:10" x14ac:dyDescent="0.25">
      <c r="A62" t="str">
        <f>Switchgrass_Key_Inputs!B94</f>
        <v>Grass K, % of dry matter</v>
      </c>
      <c r="B62" t="s">
        <v>649</v>
      </c>
      <c r="C62" t="str">
        <f ca="1">Switchgrass_Key_Inputs!C94</f>
        <v>'[psu040224.xlsx]Nutrient Inputs'!$H$44</v>
      </c>
      <c r="D62" s="799">
        <v>6.0699999999999999E-3</v>
      </c>
      <c r="E62" s="799">
        <v>6.0699999999999999E-3</v>
      </c>
      <c r="F62" s="799">
        <v>6.0699999999999999E-3</v>
      </c>
      <c r="G62" s="799">
        <v>1.406E-2</v>
      </c>
      <c r="H62" s="799">
        <v>6.0699999999999999E-3</v>
      </c>
      <c r="I62" s="799">
        <v>6.0699999999999999E-3</v>
      </c>
      <c r="J62" s="799">
        <v>6.0699999999999999E-3</v>
      </c>
    </row>
    <row r="66" spans="4:10" x14ac:dyDescent="0.25">
      <c r="D66" s="426"/>
      <c r="E66" s="426"/>
      <c r="F66" s="426"/>
      <c r="G66" s="426"/>
      <c r="H66" s="426"/>
      <c r="I66" s="426"/>
      <c r="J66" s="426"/>
    </row>
    <row r="67" spans="4:10" x14ac:dyDescent="0.25">
      <c r="D67" s="426"/>
      <c r="E67" s="426"/>
      <c r="F67" s="426"/>
      <c r="G67" s="426"/>
      <c r="H67" s="426"/>
      <c r="I67" s="426"/>
      <c r="J67" s="426"/>
    </row>
  </sheetData>
  <sheetProtection sheet="1" objects="1" scenarios="1"/>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20</vt:i4>
      </vt:variant>
    </vt:vector>
  </HeadingPairs>
  <TitlesOfParts>
    <vt:vector size="36" baseType="lpstr">
      <vt:lpstr>Welcome</vt:lpstr>
      <vt:lpstr>Background</vt:lpstr>
      <vt:lpstr>Key inputs &amp; Outputs</vt:lpstr>
      <vt:lpstr>Financial Inputs</vt:lpstr>
      <vt:lpstr>Nutrient Inputs</vt:lpstr>
      <vt:lpstr>Switchgrass_Key_Inputs</vt:lpstr>
      <vt:lpstr>Switchgrass_Budget</vt:lpstr>
      <vt:lpstr>Sensitivity Analysis</vt:lpstr>
      <vt:lpstr>Workspace</vt:lpstr>
      <vt:lpstr>Saved Scenarios</vt:lpstr>
      <vt:lpstr>N_availability</vt:lpstr>
      <vt:lpstr>Condensed Cash Flow</vt:lpstr>
      <vt:lpstr>Detailed Cash Flow</vt:lpstr>
      <vt:lpstr>Nutrient chart</vt:lpstr>
      <vt:lpstr>Nutrient Calculations</vt:lpstr>
      <vt:lpstr>Complex Inputs</vt:lpstr>
      <vt:lpstr>'Financial Inputs'!_ftnref1</vt:lpstr>
      <vt:lpstr>alternet</vt:lpstr>
      <vt:lpstr>cellfirst</vt:lpstr>
      <vt:lpstr>corncost</vt:lpstr>
      <vt:lpstr>cornpr</vt:lpstr>
      <vt:lpstr>cornyld</vt:lpstr>
      <vt:lpstr>crop1</vt:lpstr>
      <vt:lpstr>croppick</vt:lpstr>
      <vt:lpstr>defcols</vt:lpstr>
      <vt:lpstr>defrow1</vt:lpstr>
      <vt:lpstr>defrows</vt:lpstr>
      <vt:lpstr>grassbreakeven</vt:lpstr>
      <vt:lpstr>grassbyreg</vt:lpstr>
      <vt:lpstr>input1</vt:lpstr>
      <vt:lpstr>input2</vt:lpstr>
      <vt:lpstr>pctcorn</vt:lpstr>
      <vt:lpstr>scenselect</vt:lpstr>
      <vt:lpstr>soycost</vt:lpstr>
      <vt:lpstr>soypr</vt:lpstr>
      <vt:lpstr>soyyld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CREST Model for Anaerobic Digestion</dc:title>
  <dc:subject>A model to assess project economics, design cost-based incentives, and evaluate the impact of state and federal support structures on renewable energy</dc:subject>
  <dc:creator>William F Lazarus</dc:creator>
  <cp:keywords/>
  <dc:description/>
  <cp:lastModifiedBy>William F Lazarus</cp:lastModifiedBy>
  <cp:lastPrinted>2010-07-30T20:36:23Z</cp:lastPrinted>
  <dcterms:created xsi:type="dcterms:W3CDTF">2010-03-29T19:24:38Z</dcterms:created>
  <dcterms:modified xsi:type="dcterms:W3CDTF">2024-04-02T02:51:34Z</dcterms:modified>
  <cp:category/>
</cp:coreProperties>
</file>