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Pellet Production" sheetId="1" r:id="rId1"/>
    <sheet name="Growing Switchgrass" sheetId="2" r:id="rId2"/>
    <sheet name="Growing Miscanthus" sheetId="3" r:id="rId3"/>
    <sheet name="Pelleting Calcs" sheetId="4" r:id="rId4"/>
    <sheet name="Operating Costs" sheetId="5" r:id="rId5"/>
  </sheets>
  <calcPr calcId="145621"/>
</workbook>
</file>

<file path=xl/calcChain.xml><?xml version="1.0" encoding="utf-8"?>
<calcChain xmlns="http://schemas.openxmlformats.org/spreadsheetml/2006/main">
  <c r="E54" i="1" l="1"/>
  <c r="E52" i="1"/>
  <c r="E59" i="1"/>
  <c r="E60" i="1"/>
  <c r="E61" i="1"/>
  <c r="E62" i="1"/>
  <c r="E63" i="1"/>
  <c r="E65" i="1"/>
  <c r="E58" i="1"/>
  <c r="E53" i="1"/>
  <c r="E51" i="1"/>
  <c r="E56" i="1"/>
  <c r="E46" i="1"/>
  <c r="E45" i="1"/>
  <c r="E44" i="1"/>
  <c r="E40" i="1"/>
  <c r="E36" i="1"/>
  <c r="E35" i="1"/>
  <c r="E31" i="1"/>
  <c r="E43" i="1"/>
  <c r="E42" i="1"/>
  <c r="E41" i="1"/>
  <c r="E39" i="1"/>
  <c r="E38" i="1"/>
  <c r="E37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C35" i="4" l="1"/>
  <c r="C38" i="4" s="1"/>
  <c r="D38" i="4"/>
  <c r="D36" i="4"/>
  <c r="D45" i="4"/>
  <c r="C56" i="1"/>
  <c r="C36" i="4" l="1"/>
  <c r="K22" i="5"/>
  <c r="K23" i="5"/>
  <c r="K24" i="5"/>
  <c r="K25" i="5"/>
  <c r="K26" i="5"/>
  <c r="K27" i="5"/>
  <c r="K28" i="5"/>
  <c r="K29" i="5"/>
  <c r="K30" i="5"/>
  <c r="K31" i="5"/>
  <c r="K32" i="5"/>
  <c r="M32" i="5"/>
  <c r="J23" i="5"/>
  <c r="J24" i="5"/>
  <c r="J25" i="5"/>
  <c r="J26" i="5"/>
  <c r="J27" i="5"/>
  <c r="J28" i="5"/>
  <c r="J29" i="5"/>
  <c r="J30" i="5"/>
  <c r="J31" i="5"/>
  <c r="J32" i="5"/>
  <c r="J22" i="5"/>
  <c r="J21" i="5"/>
  <c r="K21" i="5"/>
  <c r="M21" i="5"/>
  <c r="I22" i="5"/>
  <c r="I23" i="5"/>
  <c r="I24" i="5"/>
  <c r="I25" i="5"/>
  <c r="I26" i="5"/>
  <c r="I27" i="5"/>
  <c r="I28" i="5"/>
  <c r="I29" i="5"/>
  <c r="I30" i="5"/>
  <c r="I31" i="5"/>
  <c r="I32" i="5"/>
  <c r="I21" i="5"/>
  <c r="J7" i="5"/>
  <c r="K7" i="5"/>
  <c r="L7" i="5"/>
  <c r="L23" i="5" s="1"/>
  <c r="M7" i="5"/>
  <c r="M23" i="5" s="1"/>
  <c r="N7" i="5"/>
  <c r="N23" i="5" s="1"/>
  <c r="J8" i="5"/>
  <c r="K8" i="5"/>
  <c r="L8" i="5"/>
  <c r="L24" i="5" s="1"/>
  <c r="M8" i="5"/>
  <c r="M24" i="5" s="1"/>
  <c r="N8" i="5"/>
  <c r="N24" i="5" s="1"/>
  <c r="J9" i="5"/>
  <c r="K9" i="5"/>
  <c r="L9" i="5"/>
  <c r="L25" i="5" s="1"/>
  <c r="M9" i="5"/>
  <c r="M25" i="5" s="1"/>
  <c r="N9" i="5"/>
  <c r="N25" i="5" s="1"/>
  <c r="J10" i="5"/>
  <c r="K10" i="5"/>
  <c r="L10" i="5"/>
  <c r="L26" i="5" s="1"/>
  <c r="M10" i="5"/>
  <c r="M26" i="5" s="1"/>
  <c r="N10" i="5"/>
  <c r="N26" i="5" s="1"/>
  <c r="J11" i="5"/>
  <c r="K11" i="5"/>
  <c r="L11" i="5"/>
  <c r="L27" i="5" s="1"/>
  <c r="M11" i="5"/>
  <c r="M27" i="5" s="1"/>
  <c r="N11" i="5"/>
  <c r="N27" i="5" s="1"/>
  <c r="J12" i="5"/>
  <c r="K12" i="5"/>
  <c r="L12" i="5"/>
  <c r="L28" i="5" s="1"/>
  <c r="M12" i="5"/>
  <c r="M28" i="5" s="1"/>
  <c r="N12" i="5"/>
  <c r="N28" i="5" s="1"/>
  <c r="J13" i="5"/>
  <c r="K13" i="5"/>
  <c r="L13" i="5"/>
  <c r="L29" i="5" s="1"/>
  <c r="M13" i="5"/>
  <c r="M29" i="5" s="1"/>
  <c r="N13" i="5"/>
  <c r="N29" i="5" s="1"/>
  <c r="J14" i="5"/>
  <c r="K14" i="5"/>
  <c r="L14" i="5"/>
  <c r="L30" i="5" s="1"/>
  <c r="M14" i="5"/>
  <c r="M30" i="5" s="1"/>
  <c r="N14" i="5"/>
  <c r="N30" i="5" s="1"/>
  <c r="J15" i="5"/>
  <c r="K15" i="5"/>
  <c r="L15" i="5"/>
  <c r="L31" i="5" s="1"/>
  <c r="M15" i="5"/>
  <c r="M31" i="5" s="1"/>
  <c r="N15" i="5"/>
  <c r="N31" i="5" s="1"/>
  <c r="J16" i="5"/>
  <c r="K16" i="5"/>
  <c r="L16" i="5"/>
  <c r="L32" i="5" s="1"/>
  <c r="M16" i="5"/>
  <c r="N16" i="5"/>
  <c r="N32" i="5" s="1"/>
  <c r="N6" i="5"/>
  <c r="N22" i="5" s="1"/>
  <c r="M6" i="5"/>
  <c r="M22" i="5" s="1"/>
  <c r="L6" i="5"/>
  <c r="L22" i="5" s="1"/>
  <c r="K6" i="5"/>
  <c r="J6" i="5"/>
  <c r="N5" i="5"/>
  <c r="N21" i="5" s="1"/>
  <c r="M5" i="5"/>
  <c r="L5" i="5"/>
  <c r="L21" i="5" s="1"/>
  <c r="K5" i="5"/>
  <c r="J5" i="5"/>
  <c r="A65" i="4" l="1"/>
  <c r="A63" i="4"/>
  <c r="A62" i="4"/>
  <c r="A61" i="4"/>
  <c r="A60" i="4"/>
  <c r="D44" i="4"/>
  <c r="D42" i="4"/>
  <c r="C44" i="4"/>
  <c r="C41" i="4"/>
  <c r="C50" i="4"/>
  <c r="D20" i="4"/>
  <c r="D22" i="4"/>
  <c r="C20" i="4"/>
  <c r="C19" i="4"/>
  <c r="D30" i="4"/>
  <c r="D29" i="4"/>
  <c r="D32" i="4"/>
  <c r="C30" i="4"/>
  <c r="C29" i="4"/>
  <c r="C26" i="4"/>
  <c r="D14" i="4"/>
  <c r="D16" i="4"/>
  <c r="C14" i="4"/>
  <c r="C6" i="4"/>
  <c r="C13" i="4"/>
  <c r="D7" i="4"/>
  <c r="C7" i="4"/>
  <c r="D10" i="4"/>
  <c r="E3" i="4"/>
  <c r="E26" i="4" l="1"/>
  <c r="E45" i="4" s="1"/>
  <c r="F3" i="4"/>
  <c r="C52" i="1"/>
  <c r="C22" i="4"/>
  <c r="E35" i="4"/>
  <c r="F35" i="4" s="1"/>
  <c r="G35" i="4" s="1"/>
  <c r="E36" i="4"/>
  <c r="F36" i="4" s="1"/>
  <c r="D13" i="4"/>
  <c r="D6" i="4"/>
  <c r="B50" i="4"/>
  <c r="B59" i="4" s="1"/>
  <c r="C42" i="4"/>
  <c r="C59" i="4"/>
  <c r="D26" i="4"/>
  <c r="C27" i="4"/>
  <c r="C45" i="4"/>
  <c r="E21" i="4"/>
  <c r="E19" i="4"/>
  <c r="F19" i="4" s="1"/>
  <c r="E20" i="4"/>
  <c r="F20" i="4" s="1"/>
  <c r="E22" i="4"/>
  <c r="C32" i="4"/>
  <c r="C16" i="4"/>
  <c r="C28" i="4"/>
  <c r="E7" i="4"/>
  <c r="F7" i="4" s="1"/>
  <c r="E8" i="4"/>
  <c r="E14" i="4"/>
  <c r="F14" i="4" s="1"/>
  <c r="E15" i="4"/>
  <c r="E6" i="4"/>
  <c r="E10" i="4"/>
  <c r="E16" i="4"/>
  <c r="C9" i="4"/>
  <c r="E9" i="4"/>
  <c r="E13" i="4"/>
  <c r="K35" i="3"/>
  <c r="J35" i="3"/>
  <c r="I34" i="3"/>
  <c r="J34" i="3" s="1"/>
  <c r="I31" i="3"/>
  <c r="H31" i="3"/>
  <c r="G31" i="3"/>
  <c r="C31" i="3"/>
  <c r="I30" i="3"/>
  <c r="J30" i="3" s="1"/>
  <c r="H30" i="3"/>
  <c r="G30" i="3"/>
  <c r="K29" i="3"/>
  <c r="J29" i="3"/>
  <c r="I28" i="3"/>
  <c r="H28" i="3"/>
  <c r="G28" i="3"/>
  <c r="F28" i="3"/>
  <c r="J28" i="3" s="1"/>
  <c r="G27" i="3"/>
  <c r="F27" i="3"/>
  <c r="J27" i="3" s="1"/>
  <c r="F26" i="3"/>
  <c r="J26" i="3" s="1"/>
  <c r="F25" i="3"/>
  <c r="K25" i="3" s="1"/>
  <c r="F24" i="3"/>
  <c r="J24" i="3" s="1"/>
  <c r="F23" i="3"/>
  <c r="J23" i="3" s="1"/>
  <c r="K21" i="3"/>
  <c r="F21" i="3"/>
  <c r="J21" i="3" s="1"/>
  <c r="F20" i="3"/>
  <c r="F19" i="3"/>
  <c r="K19" i="3" s="1"/>
  <c r="F18" i="3"/>
  <c r="J18" i="3" s="1"/>
  <c r="I16" i="3"/>
  <c r="H16" i="3"/>
  <c r="G16" i="3"/>
  <c r="F16" i="3"/>
  <c r="I15" i="3"/>
  <c r="H15" i="3"/>
  <c r="G15" i="3"/>
  <c r="F15" i="3"/>
  <c r="K14" i="3"/>
  <c r="J14" i="3"/>
  <c r="I13" i="3"/>
  <c r="H13" i="3"/>
  <c r="G13" i="3"/>
  <c r="K13" i="3" s="1"/>
  <c r="J12" i="3"/>
  <c r="I12" i="3"/>
  <c r="H12" i="3"/>
  <c r="G12" i="3"/>
  <c r="K12" i="3" s="1"/>
  <c r="I11" i="3"/>
  <c r="H11" i="3"/>
  <c r="G11" i="3"/>
  <c r="F11" i="3"/>
  <c r="K10" i="3"/>
  <c r="F9" i="3"/>
  <c r="K9" i="3" s="1"/>
  <c r="E43" i="4" l="1"/>
  <c r="F26" i="4"/>
  <c r="G26" i="4" s="1"/>
  <c r="E42" i="4"/>
  <c r="E28" i="4"/>
  <c r="F13" i="4"/>
  <c r="F6" i="4"/>
  <c r="E29" i="4"/>
  <c r="F29" i="4" s="1"/>
  <c r="G29" i="4" s="1"/>
  <c r="E27" i="4"/>
  <c r="E38" i="4"/>
  <c r="F38" i="4" s="1"/>
  <c r="D50" i="4"/>
  <c r="E41" i="4"/>
  <c r="H19" i="4" s="1"/>
  <c r="E37" i="4"/>
  <c r="E44" i="4"/>
  <c r="F44" i="4" s="1"/>
  <c r="G44" i="4" s="1"/>
  <c r="G7" i="4"/>
  <c r="F8" i="4"/>
  <c r="G13" i="4"/>
  <c r="G36" i="4"/>
  <c r="F37" i="4"/>
  <c r="G37" i="4" s="1"/>
  <c r="G38" i="4"/>
  <c r="G19" i="4"/>
  <c r="H14" i="4"/>
  <c r="F15" i="4"/>
  <c r="G15" i="4" s="1"/>
  <c r="G14" i="4"/>
  <c r="F21" i="4"/>
  <c r="G21" i="4" s="1"/>
  <c r="G20" i="4"/>
  <c r="E30" i="4"/>
  <c r="F30" i="4" s="1"/>
  <c r="E31" i="4"/>
  <c r="E32" i="4"/>
  <c r="F32" i="4" s="1"/>
  <c r="G32" i="4" s="1"/>
  <c r="F22" i="4"/>
  <c r="C51" i="1"/>
  <c r="C53" i="1" s="1"/>
  <c r="F42" i="4"/>
  <c r="F16" i="4"/>
  <c r="F45" i="4"/>
  <c r="G45" i="4" s="1"/>
  <c r="D9" i="4"/>
  <c r="F9" i="4" s="1"/>
  <c r="F28" i="4"/>
  <c r="G28" i="4" s="1"/>
  <c r="D27" i="4"/>
  <c r="F27" i="4"/>
  <c r="G27" i="4" s="1"/>
  <c r="C10" i="4"/>
  <c r="F10" i="4" s="1"/>
  <c r="K20" i="3"/>
  <c r="G20" i="3"/>
  <c r="J20" i="3" s="1"/>
  <c r="J9" i="3"/>
  <c r="H32" i="3"/>
  <c r="J13" i="3"/>
  <c r="K16" i="3"/>
  <c r="K26" i="3"/>
  <c r="K27" i="3"/>
  <c r="J11" i="3"/>
  <c r="G32" i="3"/>
  <c r="K15" i="3"/>
  <c r="J16" i="3"/>
  <c r="K23" i="3"/>
  <c r="K30" i="3"/>
  <c r="K31" i="3"/>
  <c r="K11" i="3"/>
  <c r="I32" i="3"/>
  <c r="J15" i="3"/>
  <c r="J19" i="3"/>
  <c r="F32" i="3"/>
  <c r="K32" i="3" s="1"/>
  <c r="K18" i="3"/>
  <c r="K24" i="3"/>
  <c r="K28" i="3"/>
  <c r="J31" i="3"/>
  <c r="J25" i="3"/>
  <c r="K34" i="2"/>
  <c r="J34" i="2"/>
  <c r="J33" i="2"/>
  <c r="I33" i="2"/>
  <c r="G30" i="2"/>
  <c r="C30" i="2"/>
  <c r="I30" i="2" s="1"/>
  <c r="I29" i="2"/>
  <c r="H29" i="2"/>
  <c r="G29" i="2"/>
  <c r="K28" i="2"/>
  <c r="J28" i="2"/>
  <c r="G27" i="2"/>
  <c r="F27" i="2"/>
  <c r="F26" i="2"/>
  <c r="J26" i="2" s="1"/>
  <c r="F25" i="2"/>
  <c r="K25" i="2" s="1"/>
  <c r="F24" i="2"/>
  <c r="J24" i="2" s="1"/>
  <c r="F23" i="2"/>
  <c r="K23" i="2" s="1"/>
  <c r="K21" i="2"/>
  <c r="J21" i="2"/>
  <c r="K20" i="2"/>
  <c r="J20" i="2"/>
  <c r="F19" i="2"/>
  <c r="J19" i="2" s="1"/>
  <c r="F18" i="2"/>
  <c r="J18" i="2" s="1"/>
  <c r="I16" i="2"/>
  <c r="H16" i="2"/>
  <c r="G16" i="2"/>
  <c r="F16" i="2"/>
  <c r="I15" i="2"/>
  <c r="H15" i="2"/>
  <c r="G15" i="2"/>
  <c r="F15" i="2"/>
  <c r="K14" i="2"/>
  <c r="J14" i="2"/>
  <c r="I13" i="2"/>
  <c r="H13" i="2"/>
  <c r="G13" i="2"/>
  <c r="I12" i="2"/>
  <c r="H12" i="2"/>
  <c r="G12" i="2"/>
  <c r="I11" i="2"/>
  <c r="H11" i="2"/>
  <c r="G11" i="2"/>
  <c r="F11" i="2"/>
  <c r="K10" i="2"/>
  <c r="F9" i="2"/>
  <c r="K9" i="2" s="1"/>
  <c r="H26" i="4" l="1"/>
  <c r="H5" i="4"/>
  <c r="H20" i="4"/>
  <c r="H7" i="4"/>
  <c r="H6" i="4"/>
  <c r="H29" i="4"/>
  <c r="H21" i="4"/>
  <c r="H45" i="4"/>
  <c r="H28" i="4"/>
  <c r="F41" i="4"/>
  <c r="B52" i="4" s="1"/>
  <c r="H36" i="4"/>
  <c r="H32" i="4"/>
  <c r="H38" i="4"/>
  <c r="H13" i="4"/>
  <c r="G6" i="4"/>
  <c r="H35" i="4"/>
  <c r="G23" i="4"/>
  <c r="C62" i="4" s="1"/>
  <c r="H16" i="4"/>
  <c r="G16" i="4"/>
  <c r="G17" i="4" s="1"/>
  <c r="C61" i="4" s="1"/>
  <c r="H10" i="4"/>
  <c r="G10" i="4"/>
  <c r="H15" i="4"/>
  <c r="H27" i="4"/>
  <c r="H9" i="4"/>
  <c r="G9" i="4"/>
  <c r="G30" i="4"/>
  <c r="F31" i="4"/>
  <c r="H30" i="4"/>
  <c r="G39" i="4"/>
  <c r="C64" i="4" s="1"/>
  <c r="H22" i="4"/>
  <c r="G22" i="4"/>
  <c r="G42" i="4"/>
  <c r="F43" i="4"/>
  <c r="G43" i="4" s="1"/>
  <c r="H44" i="4"/>
  <c r="C61" i="1" s="1"/>
  <c r="F39" i="4"/>
  <c r="H37" i="4"/>
  <c r="C54" i="1"/>
  <c r="F23" i="4"/>
  <c r="F33" i="4"/>
  <c r="F17" i="4"/>
  <c r="J32" i="3"/>
  <c r="K18" i="2"/>
  <c r="J27" i="2"/>
  <c r="J13" i="2"/>
  <c r="I31" i="2"/>
  <c r="G31" i="2"/>
  <c r="K27" i="2"/>
  <c r="J29" i="2"/>
  <c r="K26" i="2"/>
  <c r="K11" i="2"/>
  <c r="K12" i="2"/>
  <c r="J15" i="2"/>
  <c r="K16" i="2"/>
  <c r="K19" i="2"/>
  <c r="J25" i="2"/>
  <c r="J12" i="2"/>
  <c r="K15" i="2"/>
  <c r="K29" i="2"/>
  <c r="J11" i="2"/>
  <c r="J16" i="2"/>
  <c r="J23" i="2"/>
  <c r="K24" i="2"/>
  <c r="F31" i="2"/>
  <c r="K13" i="2"/>
  <c r="J9" i="2"/>
  <c r="H30" i="2"/>
  <c r="J30" i="2" s="1"/>
  <c r="D53" i="4" l="1"/>
  <c r="H41" i="4"/>
  <c r="D52" i="4" s="1"/>
  <c r="G41" i="4"/>
  <c r="C52" i="4" s="1"/>
  <c r="C60" i="1"/>
  <c r="G31" i="4"/>
  <c r="G33" i="4" s="1"/>
  <c r="C63" i="4" s="1"/>
  <c r="H31" i="4"/>
  <c r="B61" i="4"/>
  <c r="H17" i="4"/>
  <c r="D61" i="4" s="1"/>
  <c r="B62" i="4"/>
  <c r="H23" i="4"/>
  <c r="D62" i="4" s="1"/>
  <c r="H43" i="4"/>
  <c r="H42" i="4"/>
  <c r="C59" i="1" s="1"/>
  <c r="B64" i="4"/>
  <c r="H39" i="4"/>
  <c r="D64" i="4" s="1"/>
  <c r="B63" i="4"/>
  <c r="H33" i="4"/>
  <c r="D63" i="4" s="1"/>
  <c r="C53" i="4"/>
  <c r="G46" i="4"/>
  <c r="C65" i="4" s="1"/>
  <c r="B53" i="4"/>
  <c r="F46" i="4"/>
  <c r="K30" i="2"/>
  <c r="J31" i="2"/>
  <c r="H31" i="2"/>
  <c r="B65" i="4" l="1"/>
  <c r="H46" i="4"/>
  <c r="D65" i="4" s="1"/>
  <c r="K31" i="2"/>
  <c r="H3" i="4" l="1"/>
  <c r="D54" i="4" s="1"/>
  <c r="B54" i="4"/>
  <c r="G3" i="4"/>
  <c r="G4" i="4" s="1"/>
  <c r="F4" i="4"/>
  <c r="H4" i="4" s="1"/>
  <c r="C54" i="4" l="1"/>
  <c r="D59" i="4"/>
  <c r="C58" i="1" s="1"/>
  <c r="H8" i="4"/>
  <c r="C62" i="1" s="1"/>
  <c r="D51" i="4"/>
  <c r="D55" i="4" s="1"/>
  <c r="B51" i="4"/>
  <c r="B55" i="4" s="1"/>
  <c r="F11" i="4"/>
  <c r="H11" i="4" s="1"/>
  <c r="D60" i="4" s="1"/>
  <c r="G8" i="4"/>
  <c r="G11" i="4" s="1"/>
  <c r="C60" i="4" s="1"/>
  <c r="C66" i="4" s="1"/>
  <c r="B60" i="4" l="1"/>
  <c r="B66" i="4" s="1"/>
  <c r="D66" i="4"/>
  <c r="C51" i="4"/>
  <c r="C55" i="4" s="1"/>
  <c r="C63" i="1"/>
  <c r="C65" i="1" s="1"/>
</calcChain>
</file>

<file path=xl/sharedStrings.xml><?xml version="1.0" encoding="utf-8"?>
<sst xmlns="http://schemas.openxmlformats.org/spreadsheetml/2006/main" count="475" uniqueCount="254">
  <si>
    <t>On-Farm Pellet Manufacture Cost Estimator</t>
  </si>
  <si>
    <t>Inputs:</t>
  </si>
  <si>
    <t>Switchgrass Budget 2013</t>
  </si>
  <si>
    <t>QTY</t>
  </si>
  <si>
    <t>Unit</t>
  </si>
  <si>
    <t>Price /Unit</t>
  </si>
  <si>
    <t>Yr 1 (Establishment)</t>
  </si>
  <si>
    <t>Yr 2</t>
  </si>
  <si>
    <t>Yr 3</t>
  </si>
  <si>
    <t>Yr 4-15</t>
  </si>
  <si>
    <t>Total</t>
  </si>
  <si>
    <r>
      <t>Present value</t>
    </r>
    <r>
      <rPr>
        <b/>
        <vertAlign val="superscript"/>
        <sz val="12"/>
        <color theme="1"/>
        <rFont val="Calibri"/>
        <family val="2"/>
        <scheme val="minor"/>
      </rPr>
      <t>8</t>
    </r>
  </si>
  <si>
    <t>Assumptions</t>
  </si>
  <si>
    <t>Interest Rate (%)</t>
  </si>
  <si>
    <t>SELECT CASH EXPENSES</t>
  </si>
  <si>
    <t>Number of years of growth (YR 4-15)</t>
  </si>
  <si>
    <t>Plant Material</t>
  </si>
  <si>
    <t>INPUTS</t>
  </si>
  <si>
    <t>Seed</t>
  </si>
  <si>
    <t>8 lbsPLS/A</t>
  </si>
  <si>
    <t>Establishment lime (tons/acre)</t>
  </si>
  <si>
    <t>Soil Fertility</t>
  </si>
  <si>
    <t>Maintenance lime (ton/acre)</t>
  </si>
  <si>
    <r>
      <t>Nitrogen</t>
    </r>
    <r>
      <rPr>
        <vertAlign val="superscript"/>
        <sz val="12"/>
        <color indexed="8"/>
        <rFont val="Calibri"/>
        <family val="2"/>
      </rPr>
      <t>1</t>
    </r>
  </si>
  <si>
    <t>lb/expected ton per acre</t>
  </si>
  <si>
    <t>Weight of Bale (lbs)</t>
  </si>
  <si>
    <r>
      <t>P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O</t>
    </r>
    <r>
      <rPr>
        <vertAlign val="subscript"/>
        <sz val="12"/>
        <color indexed="8"/>
        <rFont val="Calibri"/>
        <family val="2"/>
      </rPr>
      <t>5</t>
    </r>
    <r>
      <rPr>
        <vertAlign val="superscript"/>
        <sz val="12"/>
        <color indexed="8"/>
        <rFont val="Calibri"/>
        <family val="2"/>
      </rPr>
      <t>1</t>
    </r>
  </si>
  <si>
    <r>
      <t>K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O</t>
    </r>
    <r>
      <rPr>
        <vertAlign val="superscript"/>
        <sz val="12"/>
        <color indexed="8"/>
        <rFont val="Calibri"/>
        <family val="2"/>
      </rPr>
      <t>1</t>
    </r>
  </si>
  <si>
    <t>Footnotes:</t>
  </si>
  <si>
    <r>
      <t>Fertilizer application</t>
    </r>
    <r>
      <rPr>
        <vertAlign val="superscript"/>
        <sz val="12"/>
        <color theme="1"/>
        <rFont val="Calibri"/>
        <family val="2"/>
        <scheme val="minor"/>
      </rPr>
      <t>2</t>
    </r>
  </si>
  <si>
    <t xml:space="preserve"> annually</t>
  </si>
  <si>
    <t>per acre</t>
  </si>
  <si>
    <r>
      <t>Lime</t>
    </r>
    <r>
      <rPr>
        <vertAlign val="superscript"/>
        <sz val="12"/>
        <color theme="1"/>
        <rFont val="Calibri"/>
        <family val="2"/>
        <scheme val="minor"/>
      </rPr>
      <t>3</t>
    </r>
  </si>
  <si>
    <t>see inputs</t>
  </si>
  <si>
    <t>ton</t>
  </si>
  <si>
    <r>
      <rPr>
        <vertAlign val="super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>-Based on 10#N, 4#P2O5, 15#K20 crop removal per ton of biomass</t>
    </r>
  </si>
  <si>
    <r>
      <t>Soil Testing</t>
    </r>
    <r>
      <rPr>
        <vertAlign val="superscript"/>
        <sz val="12"/>
        <color theme="1"/>
        <rFont val="Calibri"/>
        <family val="2"/>
        <scheme val="minor"/>
      </rPr>
      <t>4</t>
    </r>
  </si>
  <si>
    <t xml:space="preserve"> </t>
  </si>
  <si>
    <t>per soil test</t>
  </si>
  <si>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-Custom Rates from 2014 Penn State Extension </t>
    </r>
  </si>
  <si>
    <t xml:space="preserve"> (NASS-USDA source)</t>
  </si>
  <si>
    <t>Weed Control</t>
  </si>
  <si>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-Based on 4 ton of lime per acre during establishment and 2 ton/acre every 4th year</t>
    </r>
  </si>
  <si>
    <r>
      <t>Burn-Down</t>
    </r>
    <r>
      <rPr>
        <vertAlign val="superscript"/>
        <sz val="12"/>
        <color theme="1"/>
        <rFont val="Calibri"/>
        <family val="2"/>
        <scheme val="minor"/>
      </rPr>
      <t>5</t>
    </r>
  </si>
  <si>
    <t>32 ounces</t>
  </si>
  <si>
    <t>acre</t>
  </si>
  <si>
    <r>
      <rPr>
        <vertAlign val="superscript"/>
        <sz val="12"/>
        <color indexed="8"/>
        <rFont val="Calibri"/>
        <family val="2"/>
      </rPr>
      <t>4</t>
    </r>
    <r>
      <rPr>
        <sz val="12"/>
        <color indexed="8"/>
        <rFont val="Calibri"/>
        <family val="2"/>
      </rPr>
      <t>-Grid sampling in 5 acre units, every 3 years (applied)</t>
    </r>
  </si>
  <si>
    <r>
      <t>Post-Emergence</t>
    </r>
    <r>
      <rPr>
        <vertAlign val="superscript"/>
        <sz val="12"/>
        <color theme="1"/>
        <rFont val="Calibri"/>
        <family val="2"/>
        <scheme val="minor"/>
      </rPr>
      <t>6</t>
    </r>
  </si>
  <si>
    <t>8 ounces</t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</si>
  <si>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- 32 oz of glyphosate applied in sufficient time prior to plowing to control perennial and other serious weeds</t>
    </r>
  </si>
  <si>
    <t>8 oz</t>
  </si>
  <si>
    <r>
      <rPr>
        <vertAlign val="superscript"/>
        <sz val="12"/>
        <color indexed="8"/>
        <rFont val="Calibri"/>
        <family val="2"/>
      </rPr>
      <t>6</t>
    </r>
    <r>
      <rPr>
        <sz val="12"/>
        <color indexed="8"/>
        <rFont val="Calibri"/>
        <family val="2"/>
      </rPr>
      <t>-Post emergence with 8 ounces of quinchlorac in establishment year and 2,4-D in year 2</t>
    </r>
  </si>
  <si>
    <r>
      <t>Sprayer-3 sprays</t>
    </r>
    <r>
      <rPr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</si>
  <si>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2"/>
        <color indexed="8"/>
        <rFont val="Calibri"/>
        <family val="2"/>
      </rPr>
      <t>7</t>
    </r>
    <r>
      <rPr>
        <sz val="12"/>
        <color indexed="8"/>
        <rFont val="Calibri"/>
        <family val="2"/>
      </rPr>
      <t>-Havested at 15% moisture &amp; the bale weight used was 863#/bale.</t>
    </r>
  </si>
  <si>
    <t>Establishment &amp; Maintenance</t>
  </si>
  <si>
    <r>
      <rPr>
        <vertAlign val="superscript"/>
        <sz val="12"/>
        <color indexed="8"/>
        <rFont val="Calibri"/>
        <family val="2"/>
      </rPr>
      <t>8</t>
    </r>
    <r>
      <rPr>
        <sz val="12"/>
        <color indexed="8"/>
        <rFont val="Calibri"/>
        <family val="2"/>
      </rPr>
      <t xml:space="preserve">-Shows the discounted value over the production period.  User can adjust the interest rate. </t>
    </r>
  </si>
  <si>
    <r>
      <t>Brush Mowing</t>
    </r>
    <r>
      <rPr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</si>
  <si>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2"/>
        <color indexed="8"/>
        <rFont val="Calibri"/>
        <family val="2"/>
      </rPr>
      <t>9</t>
    </r>
    <r>
      <rPr>
        <sz val="12"/>
        <color indexed="8"/>
        <rFont val="Calibri"/>
        <family val="2"/>
      </rPr>
      <t>- Pay back period is calculated by determing when revenues exceed establishment costs, see formula in Cell J36</t>
    </r>
  </si>
  <si>
    <r>
      <t>Moldboard Plow</t>
    </r>
    <r>
      <rPr>
        <vertAlign val="superscript"/>
        <sz val="12"/>
        <color indexed="8"/>
        <rFont val="Calibri"/>
        <family val="2"/>
      </rPr>
      <t>2</t>
    </r>
  </si>
  <si>
    <r>
      <t>Disking-2 passes</t>
    </r>
    <r>
      <rPr>
        <vertAlign val="superscript"/>
        <sz val="12"/>
        <color theme="1"/>
        <rFont val="Calibri"/>
        <family val="2"/>
        <scheme val="minor"/>
      </rPr>
      <t>2</t>
    </r>
  </si>
  <si>
    <r>
      <t>Soil Finish-2 passes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</si>
  <si>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Drill</t>
    </r>
    <r>
      <rPr>
        <vertAlign val="superscript"/>
        <sz val="12"/>
        <color theme="1"/>
        <rFont val="Calibri"/>
        <family val="2"/>
        <scheme val="minor"/>
      </rPr>
      <t>2</t>
    </r>
  </si>
  <si>
    <t>Harvesting</t>
  </si>
  <si>
    <r>
      <t>Mowing/conditioning</t>
    </r>
    <r>
      <rPr>
        <vertAlign val="superscript"/>
        <sz val="12"/>
        <color theme="1"/>
        <rFont val="Calibri"/>
        <family val="2"/>
        <scheme val="minor"/>
      </rPr>
      <t>2</t>
    </r>
  </si>
  <si>
    <r>
      <t>Baling - lg round</t>
    </r>
    <r>
      <rPr>
        <vertAlign val="superscript"/>
        <sz val="12"/>
        <color theme="1"/>
        <rFont val="Calibri"/>
        <family val="2"/>
        <scheme val="minor"/>
      </rPr>
      <t>2&amp;7</t>
    </r>
  </si>
  <si>
    <t>bale</t>
  </si>
  <si>
    <t>TOTAL CASH EXPENSES</t>
  </si>
  <si>
    <t>REVENUES</t>
  </si>
  <si>
    <t>Biomass</t>
  </si>
  <si>
    <t>Mature yield (estimation)</t>
  </si>
  <si>
    <t>dry ton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</si>
  <si>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This budget for growing and harvesting switchgrass was prepared by Mike Jacobson of Penn State for the USDA-AFRI Funded NEWBio Bioenergy Consortium.  Enter/modify data shaded in yellow, and read the estimated cost of production at the bottom right.  Enter this number on the "Pellet Production" Worksheet.  </t>
    </r>
  </si>
  <si>
    <t>Cost per ton to produce:</t>
  </si>
  <si>
    <t>Micanthus Budget 2013</t>
  </si>
  <si>
    <r>
      <t>Present value</t>
    </r>
    <r>
      <rPr>
        <b/>
        <vertAlign val="superscript"/>
        <sz val="12"/>
        <color indexed="8"/>
        <rFont val="Calibri"/>
        <family val="2"/>
      </rPr>
      <t>9</t>
    </r>
  </si>
  <si>
    <t>Rhizomes</t>
  </si>
  <si>
    <t>rhizome/acre</t>
  </si>
  <si>
    <t>Fertilizer application</t>
  </si>
  <si>
    <r>
      <t>Lime</t>
    </r>
    <r>
      <rPr>
        <vertAlign val="superscript"/>
        <sz val="12"/>
        <color indexed="8"/>
        <rFont val="Calibri"/>
        <family val="2"/>
      </rPr>
      <t>2</t>
    </r>
  </si>
  <si>
    <r>
      <rPr>
        <vertAlign val="super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>-Based on 7.5#N, 1.5#P2O5, 5.5#K20 crop removal per ton of biomass</t>
    </r>
  </si>
  <si>
    <r>
      <t>Soil Testing</t>
    </r>
    <r>
      <rPr>
        <vertAlign val="superscript"/>
        <sz val="12"/>
        <color indexed="8"/>
        <rFont val="Calibri"/>
        <family val="2"/>
      </rPr>
      <t>3</t>
    </r>
  </si>
  <si>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-Based on 4 ton of lime per acre during establishment and 2 ton/acre every 4th year</t>
    </r>
  </si>
  <si>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-Grid sampling in 5 acre units, every 3 years (applied)</t>
    </r>
  </si>
  <si>
    <r>
      <t>Burn-Down</t>
    </r>
    <r>
      <rPr>
        <vertAlign val="superscript"/>
        <sz val="12"/>
        <color indexed="8"/>
        <rFont val="Calibri"/>
        <family val="2"/>
      </rPr>
      <t>4</t>
    </r>
  </si>
  <si>
    <r>
      <rPr>
        <vertAlign val="superscript"/>
        <sz val="12"/>
        <color indexed="8"/>
        <rFont val="Calibri"/>
        <family val="2"/>
      </rPr>
      <t>4</t>
    </r>
    <r>
      <rPr>
        <sz val="12"/>
        <color indexed="8"/>
        <rFont val="Calibri"/>
        <family val="2"/>
      </rPr>
      <t>-Burn Down with 32 oz Glyphoshate, Pre-Emergence with 4 pintsacetochlor and atrizine,&amp; Post Emergence with 1 pint 2,4D</t>
    </r>
  </si>
  <si>
    <r>
      <t>Pre-Emergence</t>
    </r>
    <r>
      <rPr>
        <vertAlign val="superscript"/>
        <sz val="12"/>
        <color indexed="8"/>
        <rFont val="Calibri"/>
        <family val="2"/>
      </rPr>
      <t>4</t>
    </r>
  </si>
  <si>
    <t>4 pints</t>
  </si>
  <si>
    <r>
      <rPr>
        <vertAlign val="superscript"/>
        <sz val="12"/>
        <color indexed="8"/>
        <rFont val="Calibri"/>
        <family val="2"/>
      </rPr>
      <t>5</t>
    </r>
    <r>
      <rPr>
        <sz val="12"/>
        <color indexed="8"/>
        <rFont val="Calibri"/>
        <family val="2"/>
      </rPr>
      <t>-Custom Rates from 2012 Ohio Farm Custom Rates</t>
    </r>
  </si>
  <si>
    <r>
      <t>Post-Emergence</t>
    </r>
    <r>
      <rPr>
        <vertAlign val="superscript"/>
        <sz val="12"/>
        <color indexed="8"/>
        <rFont val="Calibri"/>
        <family val="2"/>
      </rPr>
      <t>4</t>
    </r>
  </si>
  <si>
    <t>1 pint</t>
  </si>
  <si>
    <r>
      <rPr>
        <vertAlign val="superscript"/>
        <sz val="12"/>
        <color indexed="8"/>
        <rFont val="Calibri"/>
        <family val="2"/>
      </rPr>
      <t>6</t>
    </r>
    <r>
      <rPr>
        <sz val="12"/>
        <color indexed="8"/>
        <rFont val="Calibri"/>
        <family val="2"/>
      </rPr>
      <t>-Custom Rate charged from Aloterra Energy</t>
    </r>
  </si>
  <si>
    <r>
      <t>Sprayer-3 sprays</t>
    </r>
    <r>
      <rPr>
        <vertAlign val="superscript"/>
        <sz val="12"/>
        <color indexed="8"/>
        <rFont val="Calibri"/>
        <family val="2"/>
      </rPr>
      <t>4</t>
    </r>
  </si>
  <si>
    <r>
      <rPr>
        <vertAlign val="superscript"/>
        <sz val="12"/>
        <color indexed="8"/>
        <rFont val="Calibri"/>
        <family val="2"/>
      </rPr>
      <t>7</t>
    </r>
    <r>
      <rPr>
        <sz val="12"/>
        <color indexed="8"/>
        <rFont val="Calibri"/>
        <family val="2"/>
      </rPr>
      <t>-BCAP provisions require 25 foot buffer around each field.  Cost will change based on field size/dimension</t>
    </r>
  </si>
  <si>
    <r>
      <rPr>
        <vertAlign val="superscript"/>
        <sz val="12"/>
        <color indexed="8"/>
        <rFont val="Calibri"/>
        <family val="2"/>
      </rPr>
      <t>8</t>
    </r>
    <r>
      <rPr>
        <sz val="12"/>
        <color indexed="8"/>
        <rFont val="Calibri"/>
        <family val="2"/>
      </rPr>
      <t>-Havested at 15% moisture &amp; the bale weight used was 1200#/bale.</t>
    </r>
  </si>
  <si>
    <r>
      <t>Brush Hogging</t>
    </r>
    <r>
      <rPr>
        <vertAlign val="superscript"/>
        <sz val="12"/>
        <color indexed="8"/>
        <rFont val="Calibri"/>
        <family val="2"/>
      </rPr>
      <t>5</t>
    </r>
  </si>
  <si>
    <r>
      <rPr>
        <vertAlign val="superscript"/>
        <sz val="12"/>
        <color indexed="8"/>
        <rFont val="Calibri"/>
        <family val="2"/>
      </rPr>
      <t>9</t>
    </r>
    <r>
      <rPr>
        <sz val="12"/>
        <color indexed="8"/>
        <rFont val="Calibri"/>
        <family val="2"/>
      </rPr>
      <t xml:space="preserve">-Shows the discounted value over the production period.  User can adjust the interest rate. </t>
    </r>
  </si>
  <si>
    <r>
      <t>Moldboard Plow</t>
    </r>
    <r>
      <rPr>
        <vertAlign val="superscript"/>
        <sz val="12"/>
        <color indexed="8"/>
        <rFont val="Calibri"/>
        <family val="2"/>
      </rPr>
      <t>5</t>
    </r>
  </si>
  <si>
    <r>
      <rPr>
        <vertAlign val="superscript"/>
        <sz val="12"/>
        <color indexed="8"/>
        <rFont val="Calibri"/>
        <family val="2"/>
      </rPr>
      <t>10</t>
    </r>
    <r>
      <rPr>
        <sz val="12"/>
        <color indexed="8"/>
        <rFont val="Calibri"/>
        <family val="2"/>
      </rPr>
      <t>-Pay back period is calculated by determing when revenues exceed establishment costs, see formula in Cell J36</t>
    </r>
  </si>
  <si>
    <r>
      <t>Disking-2 passes</t>
    </r>
    <r>
      <rPr>
        <vertAlign val="superscript"/>
        <sz val="12"/>
        <color indexed="8"/>
        <rFont val="Calibri"/>
        <family val="2"/>
      </rPr>
      <t>5</t>
    </r>
  </si>
  <si>
    <t>Adapted from MSU Spreadsheet (Dennis Pennington).  Web: http://bioenergy.msu.edu/economics/index.shtml</t>
  </si>
  <si>
    <r>
      <t>Soil Finish-2 passes</t>
    </r>
    <r>
      <rPr>
        <vertAlign val="superscript"/>
        <sz val="12"/>
        <color indexed="8"/>
        <rFont val="Calibri"/>
        <family val="2"/>
      </rPr>
      <t>5</t>
    </r>
  </si>
  <si>
    <r>
      <t>Rhizome Planter</t>
    </r>
    <r>
      <rPr>
        <vertAlign val="superscript"/>
        <sz val="12"/>
        <color indexed="8"/>
        <rFont val="Calibri"/>
        <family val="2"/>
      </rPr>
      <t>6</t>
    </r>
  </si>
  <si>
    <r>
      <t>Brush Hogging-Maintenance of Field Barrier</t>
    </r>
    <r>
      <rPr>
        <vertAlign val="superscript"/>
        <sz val="12"/>
        <color indexed="8"/>
        <rFont val="Calibri"/>
        <family val="2"/>
      </rPr>
      <t>7</t>
    </r>
  </si>
  <si>
    <r>
      <t>Mowing</t>
    </r>
    <r>
      <rPr>
        <vertAlign val="superscript"/>
        <sz val="12"/>
        <color indexed="8"/>
        <rFont val="Calibri"/>
        <family val="2"/>
      </rPr>
      <t>5</t>
    </r>
  </si>
  <si>
    <r>
      <t>Baling - lg round</t>
    </r>
    <r>
      <rPr>
        <vertAlign val="superscript"/>
        <sz val="12"/>
        <color indexed="8"/>
        <rFont val="Calibri"/>
        <family val="2"/>
      </rPr>
      <t>8</t>
    </r>
  </si>
  <si>
    <t>$/ton</t>
  </si>
  <si>
    <t>% (wet basis)</t>
  </si>
  <si>
    <t>$/ton (use adjoining worksheets, if desired, to estimate costs for switchgrass or miscanthus)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</si>
  <si>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This budget for growing and harvesting miscanthus was prepared by Mike Jacobson of Penn State for the USDA-AFRI Funded NEWBio Bioenergy Consortium.  Enter/modify data shaded in yellow, and read the estimated cost of production at the bottom right.  Enter this number on the "Pellet Production" Worksheet.  </t>
    </r>
  </si>
  <si>
    <t>$</t>
  </si>
  <si>
    <t>lb/hr</t>
  </si>
  <si>
    <t>kw if electric</t>
  </si>
  <si>
    <t>gal/hr if diesel</t>
  </si>
  <si>
    <t>Outputs:</t>
  </si>
  <si>
    <t>Energy use</t>
  </si>
  <si>
    <t>gal diesel / ton</t>
  </si>
  <si>
    <t>Labor requirement:</t>
  </si>
  <si>
    <t>man-hours/ton</t>
  </si>
  <si>
    <t>Cost of feedstock</t>
  </si>
  <si>
    <t>Cost of energy</t>
  </si>
  <si>
    <t>Cost of labor</t>
  </si>
  <si>
    <t>$/hr</t>
  </si>
  <si>
    <t>$/gallon</t>
  </si>
  <si>
    <t>Cost of bags</t>
  </si>
  <si>
    <t>Maintenance cost</t>
  </si>
  <si>
    <t>Energy Ratio</t>
  </si>
  <si>
    <t>J in fuel per J used</t>
  </si>
  <si>
    <t>Item</t>
  </si>
  <si>
    <t>Units per ton of feedstock</t>
  </si>
  <si>
    <t>Unit Cost ($)</t>
  </si>
  <si>
    <t>Tons Per Year</t>
  </si>
  <si>
    <t>Total Cost per ton of feedstock</t>
  </si>
  <si>
    <t>Barn Use</t>
  </si>
  <si>
    <t>N/A</t>
  </si>
  <si>
    <t>Total:</t>
  </si>
  <si>
    <t>Grinding:</t>
  </si>
  <si>
    <t>Tractor PTO for Grinder</t>
  </si>
  <si>
    <t>hours</t>
  </si>
  <si>
    <t>Fuel</t>
  </si>
  <si>
    <t>gallons</t>
  </si>
  <si>
    <t>Lube (15% of fuel cost)</t>
  </si>
  <si>
    <t>Grinder Operation</t>
  </si>
  <si>
    <t>Labor</t>
  </si>
  <si>
    <t>Hammer Milling:</t>
  </si>
  <si>
    <t>Hammer Mill Operation</t>
  </si>
  <si>
    <t>Lube</t>
  </si>
  <si>
    <t>Pellet Making:</t>
  </si>
  <si>
    <t>Pellet Mill Operation</t>
  </si>
  <si>
    <t>Die Replacement</t>
  </si>
  <si>
    <t>Fuel and Lube (tractors, mills)</t>
  </si>
  <si>
    <t>Equipment Upkeep</t>
  </si>
  <si>
    <t>Buildings, Packaging</t>
  </si>
  <si>
    <t>gal/hr diesel</t>
  </si>
  <si>
    <t>Labor, persons to run</t>
  </si>
  <si>
    <t>people</t>
  </si>
  <si>
    <t>Pelletizer labor</t>
  </si>
  <si>
    <t>persons</t>
  </si>
  <si>
    <t>kwh</t>
  </si>
  <si>
    <t>Total Cost per year</t>
  </si>
  <si>
    <t>Drying/Conditioning</t>
  </si>
  <si>
    <t>Dryer/Conditioner Operation</t>
  </si>
  <si>
    <t>Pelleting Costs (this shows the calculations, do not change any of the cells)</t>
  </si>
  <si>
    <t>Feedstock</t>
  </si>
  <si>
    <t>Bags per ton</t>
  </si>
  <si>
    <t>Cost per bag</t>
  </si>
  <si>
    <t>$/bag</t>
  </si>
  <si>
    <t>Bagger Operation</t>
  </si>
  <si>
    <t>Bags</t>
  </si>
  <si>
    <t># bags</t>
  </si>
  <si>
    <t>Tractor to drive bale grinder</t>
  </si>
  <si>
    <t>Bale Grinder</t>
  </si>
  <si>
    <t>Hammer Mill</t>
  </si>
  <si>
    <t>Tractor to drive pelletizer</t>
  </si>
  <si>
    <t>Pelletizer</t>
  </si>
  <si>
    <t>Intercept</t>
  </si>
  <si>
    <t>Slope</t>
  </si>
  <si>
    <t>Units</t>
  </si>
  <si>
    <t>tph</t>
  </si>
  <si>
    <t>Dollars per hour to maintain equipment</t>
  </si>
  <si>
    <t>Dollars per ton to maintain equipment</t>
  </si>
  <si>
    <t>Tractor to run PTO (if used)</t>
  </si>
  <si>
    <t>Feedstock:</t>
  </si>
  <si>
    <t xml:space="preserve">Instructions:  Enter data for your farm in the yellow cells.  Results are shown in the "results" section below (shaded blue) and the pie charts.  </t>
  </si>
  <si>
    <t>Results by Category</t>
  </si>
  <si>
    <t>Results by Activity</t>
  </si>
  <si>
    <t>Operating Cost Functions used in calculations (do not change any of the cells)</t>
  </si>
  <si>
    <t>v. 1.0 - August 2014</t>
  </si>
  <si>
    <t>Desired payback on investment</t>
  </si>
  <si>
    <t>years</t>
  </si>
  <si>
    <t>Price needed to achieve payback</t>
  </si>
  <si>
    <t>Total operating cost</t>
  </si>
  <si>
    <t>Startup cost</t>
  </si>
  <si>
    <t>Drying:</t>
  </si>
  <si>
    <t>Bagging:</t>
  </si>
  <si>
    <t>Dryer Operation</t>
  </si>
  <si>
    <t>Cooling/Drying:</t>
  </si>
  <si>
    <t>% of total sales</t>
  </si>
  <si>
    <t>Total Cost per ton of pellets</t>
  </si>
  <si>
    <t>Cost Per Ton feedstock</t>
  </si>
  <si>
    <t>Cost per Ton feedstock</t>
  </si>
  <si>
    <t>Cost per Ton pellets</t>
  </si>
  <si>
    <t>($/tonne)</t>
  </si>
  <si>
    <t>inputs (english units)</t>
  </si>
  <si>
    <t>(metric)</t>
  </si>
  <si>
    <t>(tonnes)</t>
  </si>
  <si>
    <t>(%)</t>
  </si>
  <si>
    <t>($/hr)</t>
  </si>
  <si>
    <t>(years)</t>
  </si>
  <si>
    <t>(% of total)</t>
  </si>
  <si>
    <t>($/kwh)</t>
  </si>
  <si>
    <t>($/litre)</t>
  </si>
  <si>
    <t>($)</t>
  </si>
  <si>
    <t>(kg/hr)</t>
  </si>
  <si>
    <t>(people)</t>
  </si>
  <si>
    <t>(litres/hr)</t>
  </si>
  <si>
    <t>(kw)</t>
  </si>
  <si>
    <t>($/bag)</t>
  </si>
  <si>
    <t>(bags/tonne)</t>
  </si>
  <si>
    <t>(man-hours/tonne)</t>
  </si>
  <si>
    <t>(J out/J in)</t>
  </si>
  <si>
    <t>(litres/tonne)</t>
  </si>
  <si>
    <t>(kwh/tonne)</t>
  </si>
  <si>
    <t>Labor cost</t>
  </si>
  <si>
    <t>Management cost</t>
  </si>
  <si>
    <t>Electricity cost</t>
  </si>
  <si>
    <t>Diesel fuel cost</t>
  </si>
  <si>
    <t>Bale grinder cost</t>
  </si>
  <si>
    <t>Bale grinder capacity</t>
  </si>
  <si>
    <t>Bale grinder fuel use</t>
  </si>
  <si>
    <t xml:space="preserve">Hammer mill cost </t>
  </si>
  <si>
    <t>Hammer mill capacity</t>
  </si>
  <si>
    <t>Feedstock cost</t>
  </si>
  <si>
    <t>Tons per year</t>
  </si>
  <si>
    <t>Moisture content</t>
  </si>
  <si>
    <t xml:space="preserve">Dryer/conditioner cost </t>
  </si>
  <si>
    <t>Dryer/conditioner capacity</t>
  </si>
  <si>
    <t xml:space="preserve">Pelletizer cost </t>
  </si>
  <si>
    <t>Pelletizer capacity</t>
  </si>
  <si>
    <t>Dryer/cooler capacity</t>
  </si>
  <si>
    <t>Dryer/cooler cost</t>
  </si>
  <si>
    <t>Bagger cost</t>
  </si>
  <si>
    <t>Bagger capacity</t>
  </si>
  <si>
    <t>Bagger energy use</t>
  </si>
  <si>
    <t>bags/\ton</t>
  </si>
  <si>
    <t>kW if electric</t>
  </si>
  <si>
    <t>$/kWh</t>
  </si>
  <si>
    <t>tons/yr</t>
  </si>
  <si>
    <t>kW electric</t>
  </si>
  <si>
    <t>Hammer mill fuel use</t>
  </si>
  <si>
    <t xml:space="preserve">Dryer/conditioner electric use </t>
  </si>
  <si>
    <t>Pelletizer electric use</t>
  </si>
  <si>
    <t>Pelletizer fuel use</t>
  </si>
  <si>
    <t>Dryer/cooler electric use</t>
  </si>
  <si>
    <t>kWh elec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</si>
</sst>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"/>
    <numFmt numFmtId="167" formatCode="0.000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1"/>
      <color rgb="FF0066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0" fillId="0" borderId="0" xfId="0"/>
    <xf numFmtId="0" fontId="9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3" fontId="10" fillId="0" borderId="0" xfId="0" applyNumberFormat="1" applyFont="1" applyFill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center"/>
    </xf>
    <xf numFmtId="44" fontId="10" fillId="0" borderId="0" xfId="0" applyNumberFormat="1" applyFont="1" applyFill="1" applyProtection="1"/>
    <xf numFmtId="0" fontId="10" fillId="0" borderId="0" xfId="0" applyFont="1" applyFill="1" applyAlignment="1" applyProtection="1">
      <alignment wrapText="1"/>
    </xf>
    <xf numFmtId="8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wrapText="1"/>
    </xf>
    <xf numFmtId="2" fontId="10" fillId="0" borderId="0" xfId="0" applyNumberFormat="1" applyFont="1" applyFill="1" applyAlignment="1" applyProtection="1">
      <alignment horizontal="center"/>
    </xf>
    <xf numFmtId="8" fontId="10" fillId="0" borderId="0" xfId="0" applyNumberFormat="1" applyFont="1" applyFill="1" applyProtection="1"/>
    <xf numFmtId="9" fontId="10" fillId="0" borderId="0" xfId="0" applyNumberFormat="1" applyFont="1" applyFill="1" applyAlignment="1" applyProtection="1">
      <alignment horizontal="center"/>
    </xf>
    <xf numFmtId="8" fontId="9" fillId="0" borderId="0" xfId="0" applyNumberFormat="1" applyFont="1" applyFill="1" applyAlignment="1" applyProtection="1">
      <alignment horizontal="center"/>
    </xf>
    <xf numFmtId="9" fontId="9" fillId="0" borderId="0" xfId="0" applyNumberFormat="1" applyFont="1" applyFill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Alignment="1" applyProtection="1">
      <alignment horizontal="center"/>
    </xf>
    <xf numFmtId="8" fontId="9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44" fontId="10" fillId="2" borderId="0" xfId="0" applyNumberFormat="1" applyFont="1" applyFill="1" applyProtection="1"/>
    <xf numFmtId="164" fontId="10" fillId="2" borderId="0" xfId="0" applyNumberFormat="1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44" fontId="10" fillId="3" borderId="0" xfId="0" applyNumberFormat="1" applyFont="1" applyFill="1" applyProtection="1"/>
    <xf numFmtId="3" fontId="10" fillId="3" borderId="0" xfId="0" applyNumberFormat="1" applyFont="1" applyFill="1" applyAlignment="1" applyProtection="1">
      <alignment horizontal="center"/>
    </xf>
    <xf numFmtId="8" fontId="10" fillId="3" borderId="0" xfId="0" applyNumberFormat="1" applyFont="1" applyFill="1" applyProtection="1"/>
    <xf numFmtId="44" fontId="10" fillId="3" borderId="0" xfId="0" applyNumberFormat="1" applyFont="1" applyFill="1" applyBorder="1" applyProtection="1"/>
    <xf numFmtId="0" fontId="0" fillId="0" borderId="0" xfId="0" applyFill="1" applyBorder="1" applyProtection="1"/>
    <xf numFmtId="0" fontId="0" fillId="3" borderId="9" xfId="0" applyFill="1" applyBorder="1" applyProtection="1"/>
    <xf numFmtId="0" fontId="10" fillId="0" borderId="9" xfId="0" applyFont="1" applyFill="1" applyBorder="1" applyProtection="1"/>
    <xf numFmtId="9" fontId="0" fillId="3" borderId="9" xfId="0" applyNumberFormat="1" applyFill="1" applyBorder="1" applyProtection="1"/>
    <xf numFmtId="16" fontId="1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9" fontId="10" fillId="0" borderId="0" xfId="2" applyFont="1" applyFill="1" applyAlignment="1" applyProtection="1">
      <alignment horizontal="center"/>
    </xf>
    <xf numFmtId="165" fontId="0" fillId="2" borderId="11" xfId="0" applyNumberFormat="1" applyFill="1" applyBorder="1" applyProtection="1"/>
    <xf numFmtId="0" fontId="9" fillId="4" borderId="9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 wrapText="1"/>
    </xf>
    <xf numFmtId="0" fontId="9" fillId="4" borderId="10" xfId="0" applyFont="1" applyFill="1" applyBorder="1" applyAlignment="1" applyProtection="1">
      <alignment horizontal="center"/>
    </xf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44" fontId="10" fillId="5" borderId="0" xfId="0" applyNumberFormat="1" applyFont="1" applyFill="1" applyBorder="1" applyProtection="1"/>
    <xf numFmtId="164" fontId="10" fillId="5" borderId="0" xfId="0" applyNumberFormat="1" applyFont="1" applyFill="1" applyBorder="1" applyAlignment="1" applyProtection="1">
      <alignment horizontal="center"/>
    </xf>
    <xf numFmtId="0" fontId="12" fillId="5" borderId="0" xfId="0" applyFont="1" applyFill="1" applyProtection="1"/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44" fontId="10" fillId="5" borderId="0" xfId="0" applyNumberFormat="1" applyFont="1" applyFill="1" applyProtection="1"/>
    <xf numFmtId="164" fontId="10" fillId="5" borderId="0" xfId="0" applyNumberFormat="1" applyFont="1" applyFill="1" applyAlignment="1" applyProtection="1">
      <alignment horizontal="center"/>
    </xf>
    <xf numFmtId="0" fontId="5" fillId="0" borderId="0" xfId="0" applyFont="1" applyFill="1" applyBorder="1" applyProtection="1"/>
    <xf numFmtId="164" fontId="13" fillId="2" borderId="12" xfId="0" applyNumberFormat="1" applyFont="1" applyFill="1" applyBorder="1" applyAlignment="1" applyProtection="1">
      <alignment horizontal="right"/>
    </xf>
    <xf numFmtId="164" fontId="10" fillId="2" borderId="12" xfId="0" applyNumberFormat="1" applyFont="1" applyFill="1" applyBorder="1" applyAlignment="1" applyProtection="1">
      <alignment horizontal="right"/>
    </xf>
    <xf numFmtId="165" fontId="10" fillId="2" borderId="12" xfId="0" applyNumberFormat="1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>
      <alignment horizontal="center"/>
    </xf>
    <xf numFmtId="164" fontId="10" fillId="6" borderId="0" xfId="0" applyNumberFormat="1" applyFont="1" applyFill="1" applyAlignment="1" applyProtection="1">
      <alignment horizontal="center"/>
    </xf>
    <xf numFmtId="0" fontId="0" fillId="6" borderId="0" xfId="0" applyFill="1" applyProtection="1"/>
    <xf numFmtId="0" fontId="2" fillId="0" borderId="0" xfId="0" applyFont="1" applyFill="1" applyProtection="1"/>
    <xf numFmtId="164" fontId="0" fillId="2" borderId="11" xfId="0" applyNumberFormat="1" applyFill="1" applyBorder="1" applyProtection="1"/>
    <xf numFmtId="44" fontId="10" fillId="0" borderId="0" xfId="0" applyNumberFormat="1" applyFont="1" applyFill="1" applyAlignment="1" applyProtection="1">
      <alignment horizontal="center"/>
    </xf>
    <xf numFmtId="165" fontId="10" fillId="6" borderId="0" xfId="0" applyNumberFormat="1" applyFont="1" applyFill="1" applyAlignment="1" applyProtection="1">
      <alignment horizontal="center"/>
    </xf>
    <xf numFmtId="165" fontId="10" fillId="6" borderId="12" xfId="0" applyNumberFormat="1" applyFont="1" applyFill="1" applyBorder="1" applyAlignment="1" applyProtection="1">
      <alignment horizontal="right"/>
    </xf>
    <xf numFmtId="164" fontId="0" fillId="6" borderId="11" xfId="0" applyNumberFormat="1" applyFill="1" applyBorder="1" applyProtection="1"/>
    <xf numFmtId="0" fontId="10" fillId="6" borderId="13" xfId="0" applyFont="1" applyFill="1" applyBorder="1" applyAlignment="1" applyProtection="1">
      <alignment horizontal="center"/>
    </xf>
    <xf numFmtId="0" fontId="5" fillId="0" borderId="0" xfId="0" applyFont="1" applyFill="1" applyProtection="1"/>
    <xf numFmtId="167" fontId="0" fillId="0" borderId="0" xfId="0" applyNumberFormat="1" applyFill="1" applyProtection="1"/>
    <xf numFmtId="0" fontId="9" fillId="0" borderId="0" xfId="0" applyFont="1" applyFill="1" applyAlignment="1" applyProtection="1">
      <alignment horizontal="right"/>
    </xf>
    <xf numFmtId="165" fontId="0" fillId="0" borderId="0" xfId="0" applyNumberFormat="1" applyFill="1" applyProtection="1"/>
    <xf numFmtId="0" fontId="11" fillId="4" borderId="16" xfId="0" applyFont="1" applyFill="1" applyBorder="1" applyProtection="1"/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5" fontId="10" fillId="4" borderId="16" xfId="0" applyNumberFormat="1" applyFont="1" applyFill="1" applyBorder="1" applyProtection="1"/>
    <xf numFmtId="164" fontId="10" fillId="4" borderId="17" xfId="0" applyNumberFormat="1" applyFont="1" applyFill="1" applyBorder="1" applyAlignment="1" applyProtection="1">
      <alignment horizontal="center"/>
    </xf>
    <xf numFmtId="164" fontId="10" fillId="6" borderId="17" xfId="0" applyNumberFormat="1" applyFont="1" applyFill="1" applyBorder="1" applyAlignment="1" applyProtection="1">
      <alignment horizontal="center"/>
    </xf>
    <xf numFmtId="164" fontId="10" fillId="6" borderId="17" xfId="0" applyNumberFormat="1" applyFont="1" applyFill="1" applyBorder="1" applyAlignment="1" applyProtection="1">
      <alignment horizontal="right"/>
    </xf>
    <xf numFmtId="0" fontId="11" fillId="2" borderId="13" xfId="0" applyFont="1" applyFill="1" applyBorder="1" applyProtection="1"/>
    <xf numFmtId="0" fontId="10" fillId="2" borderId="16" xfId="0" applyFont="1" applyFill="1" applyBorder="1" applyProtection="1"/>
    <xf numFmtId="0" fontId="10" fillId="2" borderId="16" xfId="0" applyFont="1" applyFill="1" applyBorder="1" applyAlignment="1" applyProtection="1">
      <alignment horizontal="center"/>
    </xf>
    <xf numFmtId="164" fontId="0" fillId="6" borderId="18" xfId="0" applyNumberFormat="1" applyFill="1" applyBorder="1" applyProtection="1"/>
    <xf numFmtId="0" fontId="9" fillId="6" borderId="19" xfId="0" applyFont="1" applyFill="1" applyBorder="1" applyProtection="1"/>
    <xf numFmtId="0" fontId="10" fillId="6" borderId="20" xfId="0" applyFont="1" applyFill="1" applyBorder="1" applyProtection="1"/>
    <xf numFmtId="0" fontId="10" fillId="3" borderId="20" xfId="0" applyFont="1" applyFill="1" applyBorder="1" applyAlignment="1" applyProtection="1">
      <alignment horizontal="center"/>
    </xf>
    <xf numFmtId="0" fontId="10" fillId="6" borderId="20" xfId="0" applyFont="1" applyFill="1" applyBorder="1" applyAlignment="1" applyProtection="1">
      <alignment horizontal="center"/>
    </xf>
    <xf numFmtId="3" fontId="10" fillId="6" borderId="20" xfId="0" applyNumberFormat="1" applyFont="1" applyFill="1" applyBorder="1" applyAlignment="1" applyProtection="1">
      <alignment horizontal="center"/>
    </xf>
    <xf numFmtId="166" fontId="10" fillId="6" borderId="20" xfId="0" applyNumberFormat="1" applyFont="1" applyFill="1" applyBorder="1" applyAlignment="1" applyProtection="1">
      <alignment horizontal="center"/>
    </xf>
    <xf numFmtId="0" fontId="10" fillId="6" borderId="19" xfId="1" applyNumberFormat="1" applyFont="1" applyFill="1" applyBorder="1" applyAlignment="1" applyProtection="1">
      <alignment horizontal="center"/>
    </xf>
    <xf numFmtId="164" fontId="0" fillId="6" borderId="21" xfId="0" applyNumberFormat="1" applyFill="1" applyBorder="1" applyProtection="1"/>
    <xf numFmtId="0" fontId="10" fillId="7" borderId="16" xfId="0" applyFont="1" applyFill="1" applyBorder="1" applyAlignment="1" applyProtection="1">
      <alignment horizontal="center"/>
    </xf>
    <xf numFmtId="0" fontId="3" fillId="0" borderId="0" xfId="0" applyFont="1"/>
    <xf numFmtId="0" fontId="0" fillId="0" borderId="0" xfId="0" applyFill="1" applyBorder="1"/>
    <xf numFmtId="0" fontId="0" fillId="8" borderId="23" xfId="0" applyFill="1" applyBorder="1"/>
    <xf numFmtId="0" fontId="0" fillId="3" borderId="17" xfId="0" applyFill="1" applyBorder="1"/>
    <xf numFmtId="0" fontId="0" fillId="3" borderId="23" xfId="0" applyFill="1" applyBorder="1"/>
    <xf numFmtId="0" fontId="0" fillId="3" borderId="22" xfId="0" applyFill="1" applyBorder="1"/>
    <xf numFmtId="0" fontId="3" fillId="0" borderId="2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8" fontId="0" fillId="0" borderId="5" xfId="0" applyNumberFormat="1" applyBorder="1" applyAlignment="1">
      <alignment horizontal="right" vertical="center" wrapText="1"/>
    </xf>
    <xf numFmtId="165" fontId="0" fillId="0" borderId="26" xfId="0" applyNumberForma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8" fontId="0" fillId="0" borderId="2" xfId="0" applyNumberFormat="1" applyBorder="1" applyAlignment="1">
      <alignment horizontal="right" vertical="center" wrapText="1"/>
    </xf>
    <xf numFmtId="165" fontId="0" fillId="0" borderId="2" xfId="0" applyNumberFormat="1" applyBorder="1" applyAlignment="1">
      <alignment horizontal="right" vertical="center" wrapText="1"/>
    </xf>
    <xf numFmtId="0" fontId="1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/>
    <xf numFmtId="165" fontId="0" fillId="0" borderId="7" xfId="0" applyNumberFormat="1" applyBorder="1" applyAlignment="1">
      <alignment horizontal="right"/>
    </xf>
    <xf numFmtId="0" fontId="0" fillId="0" borderId="2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8" fontId="0" fillId="0" borderId="8" xfId="0" applyNumberFormat="1" applyBorder="1" applyAlignment="1">
      <alignment horizontal="right" vertical="center" wrapText="1"/>
    </xf>
    <xf numFmtId="0" fontId="0" fillId="0" borderId="24" xfId="0" applyBorder="1"/>
    <xf numFmtId="165" fontId="0" fillId="0" borderId="24" xfId="0" applyNumberFormat="1" applyBorder="1" applyAlignment="1">
      <alignment horizontal="right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right" vertical="center" wrapText="1"/>
    </xf>
    <xf numFmtId="8" fontId="0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8" fontId="0" fillId="0" borderId="2" xfId="0" applyNumberFormat="1" applyFont="1" applyBorder="1" applyAlignment="1">
      <alignment vertical="center" wrapText="1"/>
    </xf>
    <xf numFmtId="0" fontId="0" fillId="9" borderId="8" xfId="0" applyFill="1" applyBorder="1" applyAlignment="1">
      <alignment horizontal="right" vertical="center" wrapText="1"/>
    </xf>
    <xf numFmtId="0" fontId="0" fillId="9" borderId="5" xfId="0" applyFill="1" applyBorder="1" applyAlignment="1">
      <alignment horizontal="right" vertical="center" wrapText="1"/>
    </xf>
    <xf numFmtId="8" fontId="0" fillId="9" borderId="8" xfId="0" applyNumberFormat="1" applyFill="1" applyBorder="1" applyAlignment="1">
      <alignment horizontal="right" vertical="center" wrapText="1"/>
    </xf>
    <xf numFmtId="2" fontId="0" fillId="3" borderId="23" xfId="0" applyNumberFormat="1" applyFill="1" applyBorder="1"/>
    <xf numFmtId="0" fontId="0" fillId="9" borderId="26" xfId="0" applyFill="1" applyBorder="1"/>
    <xf numFmtId="0" fontId="0" fillId="9" borderId="24" xfId="0" applyFill="1" applyBorder="1"/>
    <xf numFmtId="0" fontId="0" fillId="0" borderId="17" xfId="0" applyBorder="1"/>
    <xf numFmtId="0" fontId="0" fillId="0" borderId="23" xfId="0" applyBorder="1"/>
    <xf numFmtId="0" fontId="0" fillId="0" borderId="22" xfId="0" applyBorder="1"/>
    <xf numFmtId="0" fontId="0" fillId="0" borderId="23" xfId="0" applyFill="1" applyBorder="1"/>
    <xf numFmtId="0" fontId="0" fillId="0" borderId="22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8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right" vertical="center" wrapText="1"/>
    </xf>
    <xf numFmtId="7" fontId="1" fillId="0" borderId="8" xfId="1" applyNumberFormat="1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right" vertical="center" wrapText="1"/>
    </xf>
    <xf numFmtId="8" fontId="0" fillId="0" borderId="24" xfId="0" applyNumberFormat="1" applyBorder="1" applyAlignment="1">
      <alignment horizontal="right" vertical="center" wrapText="1"/>
    </xf>
    <xf numFmtId="0" fontId="0" fillId="9" borderId="24" xfId="0" applyFill="1" applyBorder="1" applyAlignment="1">
      <alignment horizontal="right" vertical="center" wrapText="1"/>
    </xf>
    <xf numFmtId="8" fontId="0" fillId="9" borderId="24" xfId="0" applyNumberFormat="1" applyFill="1" applyBorder="1" applyAlignment="1">
      <alignment horizontal="right" vertical="center" wrapText="1"/>
    </xf>
    <xf numFmtId="8" fontId="0" fillId="0" borderId="24" xfId="0" applyNumberFormat="1" applyBorder="1"/>
    <xf numFmtId="2" fontId="0" fillId="0" borderId="0" xfId="0" applyNumberFormat="1"/>
    <xf numFmtId="0" fontId="0" fillId="0" borderId="13" xfId="0" applyBorder="1"/>
    <xf numFmtId="2" fontId="0" fillId="0" borderId="18" xfId="0" applyNumberFormat="1" applyBorder="1"/>
    <xf numFmtId="0" fontId="0" fillId="0" borderId="12" xfId="0" applyBorder="1"/>
    <xf numFmtId="2" fontId="0" fillId="0" borderId="11" xfId="0" applyNumberFormat="1" applyBorder="1"/>
    <xf numFmtId="0" fontId="0" fillId="0" borderId="19" xfId="0" applyBorder="1"/>
    <xf numFmtId="2" fontId="0" fillId="0" borderId="21" xfId="0" applyNumberFormat="1" applyBorder="1"/>
    <xf numFmtId="0" fontId="0" fillId="0" borderId="21" xfId="0" applyBorder="1"/>
    <xf numFmtId="0" fontId="0" fillId="0" borderId="24" xfId="0" applyFont="1" applyBorder="1" applyAlignment="1">
      <alignment vertical="center" wrapText="1"/>
    </xf>
    <xf numFmtId="7" fontId="0" fillId="0" borderId="15" xfId="0" applyNumberFormat="1" applyFont="1" applyBorder="1" applyAlignment="1">
      <alignment vertical="center" wrapText="1"/>
    </xf>
    <xf numFmtId="7" fontId="0" fillId="0" borderId="8" xfId="0" applyNumberFormat="1" applyFont="1" applyBorder="1" applyAlignment="1">
      <alignment vertical="center" wrapText="1"/>
    </xf>
    <xf numFmtId="2" fontId="0" fillId="8" borderId="23" xfId="0" applyNumberFormat="1" applyFill="1" applyBorder="1"/>
    <xf numFmtId="8" fontId="0" fillId="8" borderId="23" xfId="0" applyNumberFormat="1" applyFill="1" applyBorder="1" applyAlignment="1">
      <alignment horizontal="right"/>
    </xf>
    <xf numFmtId="8" fontId="0" fillId="8" borderId="17" xfId="0" applyNumberFormat="1" applyFill="1" applyBorder="1" applyAlignment="1">
      <alignment horizontal="right"/>
    </xf>
    <xf numFmtId="0" fontId="0" fillId="0" borderId="20" xfId="0" applyFill="1" applyBorder="1"/>
    <xf numFmtId="0" fontId="3" fillId="0" borderId="0" xfId="0" applyFont="1" applyBorder="1" applyAlignment="1">
      <alignment vertical="center" wrapText="1"/>
    </xf>
    <xf numFmtId="8" fontId="0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9" xfId="0" applyBorder="1"/>
    <xf numFmtId="8" fontId="0" fillId="8" borderId="9" xfId="0" applyNumberFormat="1" applyFill="1" applyBorder="1" applyAlignment="1">
      <alignment horizontal="right"/>
    </xf>
    <xf numFmtId="168" fontId="0" fillId="8" borderId="22" xfId="0" applyNumberFormat="1" applyFill="1" applyBorder="1"/>
    <xf numFmtId="0" fontId="0" fillId="0" borderId="0" xfId="0" applyBorder="1" applyAlignment="1">
      <alignment wrapText="1"/>
    </xf>
    <xf numFmtId="168" fontId="0" fillId="3" borderId="23" xfId="0" applyNumberFormat="1" applyFill="1" applyBorder="1"/>
    <xf numFmtId="0" fontId="0" fillId="3" borderId="18" xfId="0" applyFill="1" applyBorder="1"/>
    <xf numFmtId="0" fontId="0" fillId="3" borderId="11" xfId="0" applyFill="1" applyBorder="1"/>
    <xf numFmtId="0" fontId="0" fillId="3" borderId="21" xfId="0" applyFill="1" applyBorder="1"/>
    <xf numFmtId="8" fontId="0" fillId="10" borderId="23" xfId="0" applyNumberFormat="1" applyFill="1" applyBorder="1" applyAlignment="1">
      <alignment horizontal="right"/>
    </xf>
    <xf numFmtId="8" fontId="0" fillId="0" borderId="0" xfId="0" applyNumberFormat="1"/>
    <xf numFmtId="0" fontId="0" fillId="0" borderId="28" xfId="0" applyBorder="1"/>
    <xf numFmtId="1" fontId="0" fillId="3" borderId="23" xfId="0" applyNumberFormat="1" applyFill="1" applyBorder="1"/>
    <xf numFmtId="165" fontId="0" fillId="0" borderId="0" xfId="0" applyNumberFormat="1"/>
    <xf numFmtId="165" fontId="0" fillId="0" borderId="24" xfId="0" applyNumberFormat="1" applyBorder="1"/>
    <xf numFmtId="1" fontId="0" fillId="9" borderId="24" xfId="0" applyNumberFormat="1" applyFill="1" applyBorder="1"/>
    <xf numFmtId="0" fontId="0" fillId="7" borderId="17" xfId="0" applyFill="1" applyBorder="1"/>
    <xf numFmtId="0" fontId="0" fillId="7" borderId="23" xfId="0" applyFill="1" applyBorder="1"/>
    <xf numFmtId="0" fontId="0" fillId="7" borderId="22" xfId="0" applyFill="1" applyBorder="1"/>
    <xf numFmtId="2" fontId="0" fillId="7" borderId="23" xfId="0" applyNumberFormat="1" applyFill="1" applyBorder="1"/>
    <xf numFmtId="168" fontId="0" fillId="7" borderId="23" xfId="0" applyNumberFormat="1" applyFill="1" applyBorder="1"/>
    <xf numFmtId="1" fontId="0" fillId="7" borderId="23" xfId="0" applyNumberFormat="1" applyFill="1" applyBorder="1"/>
    <xf numFmtId="2" fontId="0" fillId="7" borderId="22" xfId="0" applyNumberFormat="1" applyFill="1" applyBorder="1"/>
    <xf numFmtId="168" fontId="0" fillId="7" borderId="22" xfId="0" applyNumberFormat="1" applyFill="1" applyBorder="1"/>
    <xf numFmtId="8" fontId="0" fillId="7" borderId="17" xfId="0" applyNumberFormat="1" applyFill="1" applyBorder="1"/>
    <xf numFmtId="8" fontId="0" fillId="7" borderId="23" xfId="0" applyNumberFormat="1" applyFill="1" applyBorder="1"/>
    <xf numFmtId="8" fontId="0" fillId="7" borderId="9" xfId="0" applyNumberFormat="1" applyFill="1" applyBorder="1"/>
    <xf numFmtId="8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9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EF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Breakdown by Category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2044181977252844"/>
                  <c:y val="-9.6189135048295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'Pelleting Calcs'!$A$50:$A$54</c:f>
              <c:strCache>
                <c:ptCount val="5"/>
                <c:pt idx="0">
                  <c:v>Feedstock</c:v>
                </c:pt>
                <c:pt idx="1">
                  <c:v>Fuel and Lube (tractors, mills)</c:v>
                </c:pt>
                <c:pt idx="2">
                  <c:v>Equipment Upkeep</c:v>
                </c:pt>
                <c:pt idx="3">
                  <c:v>Labor</c:v>
                </c:pt>
                <c:pt idx="4">
                  <c:v>Buildings, Packaging</c:v>
                </c:pt>
              </c:strCache>
            </c:strRef>
          </c:cat>
          <c:val>
            <c:numRef>
              <c:f>'Pelleting Calcs'!$D$50:$D$54</c:f>
              <c:numCache>
                <c:formatCode>"$"#,##0.00_);[Red]\("$"#,##0.00\)</c:formatCode>
                <c:ptCount val="5"/>
                <c:pt idx="0" formatCode="&quot;$&quot;#,##0.00_);\(&quot;$&quot;#,##0.00\)">
                  <c:v>63.529411764705884</c:v>
                </c:pt>
                <c:pt idx="1">
                  <c:v>22.90720588235294</c:v>
                </c:pt>
                <c:pt idx="2">
                  <c:v>20.428235294117648</c:v>
                </c:pt>
                <c:pt idx="3">
                  <c:v>75.64705882352942</c:v>
                </c:pt>
                <c:pt idx="4">
                  <c:v>25.000000000000004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Breakdown by Activity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'Pelleting Calcs'!$A$59:$A$65</c:f>
              <c:strCache>
                <c:ptCount val="7"/>
                <c:pt idx="0">
                  <c:v>Feedstock:</c:v>
                </c:pt>
                <c:pt idx="1">
                  <c:v>Grinding:</c:v>
                </c:pt>
                <c:pt idx="2">
                  <c:v>Hammer Milling:</c:v>
                </c:pt>
                <c:pt idx="3">
                  <c:v>Drying/Conditioning</c:v>
                </c:pt>
                <c:pt idx="4">
                  <c:v>Pellet Making:</c:v>
                </c:pt>
                <c:pt idx="5">
                  <c:v>Cooling/Drying:</c:v>
                </c:pt>
                <c:pt idx="6">
                  <c:v>Bagging:</c:v>
                </c:pt>
              </c:strCache>
            </c:strRef>
          </c:cat>
          <c:val>
            <c:numRef>
              <c:f>'Pelleting Calcs'!$D$59:$D$65</c:f>
              <c:numCache>
                <c:formatCode>"$"#,##0.00_);[Red]\("$"#,##0.00\)</c:formatCode>
                <c:ptCount val="7"/>
                <c:pt idx="0" formatCode="&quot;$&quot;#,##0.00_);\(&quot;$&quot;#,##0.00\)">
                  <c:v>63.529411764705884</c:v>
                </c:pt>
                <c:pt idx="1">
                  <c:v>20.506235294117648</c:v>
                </c:pt>
                <c:pt idx="2">
                  <c:v>7.8345000000000002</c:v>
                </c:pt>
                <c:pt idx="3">
                  <c:v>1.2917647058823529</c:v>
                </c:pt>
                <c:pt idx="4">
                  <c:v>75.349999999999994</c:v>
                </c:pt>
                <c:pt idx="5">
                  <c:v>4</c:v>
                </c:pt>
                <c:pt idx="6">
                  <c:v>35.000000000000007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'Operating Costs'!$J$5</c:f>
              <c:strCache>
                <c:ptCount val="1"/>
                <c:pt idx="0">
                  <c:v>Tractor to drive bale grinder</c:v>
                </c:pt>
              </c:strCache>
            </c:strRef>
          </c:tx>
          <c:xVal>
            <c:numRef>
              <c:f>'Operating Costs'!$I$6:$I$16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Costs'!$J$6:$J$16</c:f>
              <c:numCache>
                <c:formatCode>0.00</c:formatCode>
                <c:ptCount val="11"/>
                <c:pt idx="0">
                  <c:v>2.25</c:v>
                </c:pt>
                <c:pt idx="1">
                  <c:v>2.2000000000000002</c:v>
                </c:pt>
                <c:pt idx="2">
                  <c:v>2.15</c:v>
                </c:pt>
                <c:pt idx="3">
                  <c:v>2.1</c:v>
                </c:pt>
                <c:pt idx="4">
                  <c:v>2.0499999999999998</c:v>
                </c:pt>
                <c:pt idx="5">
                  <c:v>2</c:v>
                </c:pt>
                <c:pt idx="6">
                  <c:v>1.95</c:v>
                </c:pt>
                <c:pt idx="7">
                  <c:v>1.9</c:v>
                </c:pt>
                <c:pt idx="8">
                  <c:v>1.85</c:v>
                </c:pt>
                <c:pt idx="9">
                  <c:v>1.8</c:v>
                </c:pt>
                <c:pt idx="10">
                  <c:v>1.75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'Operating Costs'!$K$5</c:f>
              <c:strCache>
                <c:ptCount val="1"/>
                <c:pt idx="0">
                  <c:v>Bale Grinder</c:v>
                </c:pt>
              </c:strCache>
            </c:strRef>
          </c:tx>
          <c:xVal>
            <c:numRef>
              <c:f>'Operating Costs'!$I$6:$I$16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Costs'!$K$6:$K$16</c:f>
              <c:numCache>
                <c:formatCode>0.00</c:formatCode>
                <c:ptCount val="11"/>
                <c:pt idx="0">
                  <c:v>3.8</c:v>
                </c:pt>
                <c:pt idx="1">
                  <c:v>3.75</c:v>
                </c:pt>
                <c:pt idx="2">
                  <c:v>3.6999999999999997</c:v>
                </c:pt>
                <c:pt idx="3">
                  <c:v>3.65</c:v>
                </c:pt>
                <c:pt idx="4">
                  <c:v>3.5999999999999996</c:v>
                </c:pt>
                <c:pt idx="5">
                  <c:v>3.55</c:v>
                </c:pt>
                <c:pt idx="6">
                  <c:v>3.5</c:v>
                </c:pt>
                <c:pt idx="7">
                  <c:v>3.4499999999999997</c:v>
                </c:pt>
                <c:pt idx="8">
                  <c:v>3.4</c:v>
                </c:pt>
                <c:pt idx="9">
                  <c:v>3.3499999999999996</c:v>
                </c:pt>
                <c:pt idx="10">
                  <c:v>3.3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'Operating Costs'!$L$5</c:f>
              <c:strCache>
                <c:ptCount val="1"/>
                <c:pt idx="0">
                  <c:v>Hammer Mill</c:v>
                </c:pt>
              </c:strCache>
            </c:strRef>
          </c:tx>
          <c:xVal>
            <c:numRef>
              <c:f>'Operating Costs'!$I$6:$I$16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Costs'!$L$6:$L$16</c:f>
              <c:numCache>
                <c:formatCode>0.00</c:formatCode>
                <c:ptCount val="11"/>
                <c:pt idx="0">
                  <c:v>0.25</c:v>
                </c:pt>
                <c:pt idx="1">
                  <c:v>0.24249999999999999</c:v>
                </c:pt>
                <c:pt idx="2">
                  <c:v>0.23499999999999999</c:v>
                </c:pt>
                <c:pt idx="3">
                  <c:v>0.22750000000000001</c:v>
                </c:pt>
                <c:pt idx="4">
                  <c:v>0.22</c:v>
                </c:pt>
                <c:pt idx="5">
                  <c:v>0.21249999999999999</c:v>
                </c:pt>
                <c:pt idx="6">
                  <c:v>0.20500000000000002</c:v>
                </c:pt>
                <c:pt idx="7">
                  <c:v>0.19750000000000001</c:v>
                </c:pt>
                <c:pt idx="8">
                  <c:v>0.19</c:v>
                </c:pt>
                <c:pt idx="9">
                  <c:v>0.1825</c:v>
                </c:pt>
                <c:pt idx="10">
                  <c:v>0.17499999999999999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'Operating Costs'!$M$5</c:f>
              <c:strCache>
                <c:ptCount val="1"/>
                <c:pt idx="0">
                  <c:v>Tractor to drive pelletizer</c:v>
                </c:pt>
              </c:strCache>
            </c:strRef>
          </c:tx>
          <c:xVal>
            <c:numRef>
              <c:f>'Operating Costs'!$I$6:$I$16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Costs'!$M$6:$M$16</c:f>
              <c:numCache>
                <c:formatCode>0.00</c:formatCode>
                <c:ptCount val="11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'Operating Costs'!$N$5</c:f>
              <c:strCache>
                <c:ptCount val="1"/>
                <c:pt idx="0">
                  <c:v>Pelletizer</c:v>
                </c:pt>
              </c:strCache>
            </c:strRef>
          </c:tx>
          <c:xVal>
            <c:numRef>
              <c:f>'Operating Costs'!$I$6:$I$16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Costs'!$N$6:$N$16</c:f>
              <c:numCache>
                <c:formatCode>0.00</c:formatCode>
                <c:ptCount val="11"/>
                <c:pt idx="0">
                  <c:v>2.4</c:v>
                </c:pt>
                <c:pt idx="1">
                  <c:v>2.375</c:v>
                </c:pt>
                <c:pt idx="2">
                  <c:v>2.35</c:v>
                </c:pt>
                <c:pt idx="3">
                  <c:v>2.3249999999999997</c:v>
                </c:pt>
                <c:pt idx="4">
                  <c:v>2.2999999999999998</c:v>
                </c:pt>
                <c:pt idx="5">
                  <c:v>2.2749999999999999</c:v>
                </c:pt>
                <c:pt idx="6">
                  <c:v>2.25</c:v>
                </c:pt>
                <c:pt idx="7">
                  <c:v>2.2250000000000001</c:v>
                </c:pt>
                <c:pt idx="8">
                  <c:v>2.1999999999999997</c:v>
                </c:pt>
                <c:pt idx="9">
                  <c:v>2.1749999999999998</c:v>
                </c:pt>
                <c:pt idx="10">
                  <c:v>2.15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69280"/>
        <c:axId val="147169856"/>
      </c:scatterChart>
      <c:valAx>
        <c:axId val="14716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 per Hour Capacity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169856"/>
        <c:crosses val="autoZero"/>
        <c:crossBetween val="midCat"/>
      </c:valAx>
      <c:valAx>
        <c:axId val="14716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per Ton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169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'Operating Costs'!$J$21</c:f>
              <c:strCache>
                <c:ptCount val="1"/>
                <c:pt idx="0">
                  <c:v>Tractor to drive bale grinder</c:v>
                </c:pt>
              </c:strCache>
            </c:strRef>
          </c:tx>
          <c:xVal>
            <c:numRef>
              <c:f>'Operating Costs'!$I$22:$I$32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Costs'!$J$22:$J$32</c:f>
              <c:numCache>
                <c:formatCode>0.00</c:formatCode>
                <c:ptCount val="11"/>
                <c:pt idx="0">
                  <c:v>0</c:v>
                </c:pt>
                <c:pt idx="1">
                  <c:v>0.55000000000000004</c:v>
                </c:pt>
                <c:pt idx="2">
                  <c:v>1.075</c:v>
                </c:pt>
                <c:pt idx="3">
                  <c:v>1.5750000000000002</c:v>
                </c:pt>
                <c:pt idx="4">
                  <c:v>2.0499999999999998</c:v>
                </c:pt>
                <c:pt idx="5">
                  <c:v>2.5</c:v>
                </c:pt>
                <c:pt idx="6">
                  <c:v>2.9249999999999998</c:v>
                </c:pt>
                <c:pt idx="7">
                  <c:v>3.3249999999999997</c:v>
                </c:pt>
                <c:pt idx="8">
                  <c:v>3.7</c:v>
                </c:pt>
                <c:pt idx="9">
                  <c:v>4.05</c:v>
                </c:pt>
                <c:pt idx="10">
                  <c:v>4.375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'Operating Costs'!$K$21</c:f>
              <c:strCache>
                <c:ptCount val="1"/>
                <c:pt idx="0">
                  <c:v>Bale Grinder</c:v>
                </c:pt>
              </c:strCache>
            </c:strRef>
          </c:tx>
          <c:xVal>
            <c:numRef>
              <c:f>'Operating Costs'!$I$22:$I$32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Costs'!$K$22:$K$32</c:f>
              <c:numCache>
                <c:formatCode>0.00</c:formatCode>
                <c:ptCount val="11"/>
                <c:pt idx="0">
                  <c:v>0</c:v>
                </c:pt>
                <c:pt idx="1">
                  <c:v>0.9375</c:v>
                </c:pt>
                <c:pt idx="2">
                  <c:v>1.8499999999999999</c:v>
                </c:pt>
                <c:pt idx="3">
                  <c:v>2.7374999999999998</c:v>
                </c:pt>
                <c:pt idx="4">
                  <c:v>3.5999999999999996</c:v>
                </c:pt>
                <c:pt idx="5">
                  <c:v>4.4375</c:v>
                </c:pt>
                <c:pt idx="6">
                  <c:v>5.25</c:v>
                </c:pt>
                <c:pt idx="7">
                  <c:v>6.0374999999999996</c:v>
                </c:pt>
                <c:pt idx="8">
                  <c:v>6.8</c:v>
                </c:pt>
                <c:pt idx="9">
                  <c:v>7.5374999999999996</c:v>
                </c:pt>
                <c:pt idx="10">
                  <c:v>8.25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'Operating Costs'!$L$21</c:f>
              <c:strCache>
                <c:ptCount val="1"/>
                <c:pt idx="0">
                  <c:v>Hammer Mill</c:v>
                </c:pt>
              </c:strCache>
            </c:strRef>
          </c:tx>
          <c:xVal>
            <c:numRef>
              <c:f>'Operating Costs'!$I$22:$I$32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Costs'!$L$22:$L$32</c:f>
              <c:numCache>
                <c:formatCode>0.00</c:formatCode>
                <c:ptCount val="11"/>
                <c:pt idx="0">
                  <c:v>0</c:v>
                </c:pt>
                <c:pt idx="1">
                  <c:v>6.0624999999999998E-2</c:v>
                </c:pt>
                <c:pt idx="2">
                  <c:v>0.11749999999999999</c:v>
                </c:pt>
                <c:pt idx="3">
                  <c:v>0.170625</c:v>
                </c:pt>
                <c:pt idx="4">
                  <c:v>0.22</c:v>
                </c:pt>
                <c:pt idx="5">
                  <c:v>0.265625</c:v>
                </c:pt>
                <c:pt idx="6">
                  <c:v>0.3075</c:v>
                </c:pt>
                <c:pt idx="7">
                  <c:v>0.34562500000000002</c:v>
                </c:pt>
                <c:pt idx="8">
                  <c:v>0.38</c:v>
                </c:pt>
                <c:pt idx="9">
                  <c:v>0.41062500000000002</c:v>
                </c:pt>
                <c:pt idx="10">
                  <c:v>0.4375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'Operating Costs'!$M$21</c:f>
              <c:strCache>
                <c:ptCount val="1"/>
                <c:pt idx="0">
                  <c:v>Tractor to drive pelletizer</c:v>
                </c:pt>
              </c:strCache>
            </c:strRef>
          </c:tx>
          <c:xVal>
            <c:numRef>
              <c:f>'Operating Costs'!$I$22:$I$32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Costs'!$M$22:$M$32</c:f>
              <c:numCache>
                <c:formatCode>0.00</c:formatCode>
                <c:ptCount val="11"/>
                <c:pt idx="0">
                  <c:v>0</c:v>
                </c:pt>
                <c:pt idx="1">
                  <c:v>2.375</c:v>
                </c:pt>
                <c:pt idx="2">
                  <c:v>4.5</c:v>
                </c:pt>
                <c:pt idx="3">
                  <c:v>6.375</c:v>
                </c:pt>
                <c:pt idx="4">
                  <c:v>8</c:v>
                </c:pt>
                <c:pt idx="5">
                  <c:v>9.375</c:v>
                </c:pt>
                <c:pt idx="6">
                  <c:v>10.5</c:v>
                </c:pt>
                <c:pt idx="7">
                  <c:v>11.375</c:v>
                </c:pt>
                <c:pt idx="8">
                  <c:v>12</c:v>
                </c:pt>
                <c:pt idx="9">
                  <c:v>12.375</c:v>
                </c:pt>
                <c:pt idx="10">
                  <c:v>12.5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'Operating Costs'!$N$21</c:f>
              <c:strCache>
                <c:ptCount val="1"/>
                <c:pt idx="0">
                  <c:v>Pelletizer</c:v>
                </c:pt>
              </c:strCache>
            </c:strRef>
          </c:tx>
          <c:xVal>
            <c:numRef>
              <c:f>'Operating Costs'!$I$22:$I$32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'Operating Costs'!$N$22:$N$32</c:f>
              <c:numCache>
                <c:formatCode>0.00</c:formatCode>
                <c:ptCount val="11"/>
                <c:pt idx="0">
                  <c:v>0</c:v>
                </c:pt>
                <c:pt idx="1">
                  <c:v>0.59375</c:v>
                </c:pt>
                <c:pt idx="2">
                  <c:v>1.175</c:v>
                </c:pt>
                <c:pt idx="3">
                  <c:v>1.7437499999999999</c:v>
                </c:pt>
                <c:pt idx="4">
                  <c:v>2.2999999999999998</c:v>
                </c:pt>
                <c:pt idx="5">
                  <c:v>2.84375</c:v>
                </c:pt>
                <c:pt idx="6">
                  <c:v>3.375</c:v>
                </c:pt>
                <c:pt idx="7">
                  <c:v>3.8937500000000003</c:v>
                </c:pt>
                <c:pt idx="8">
                  <c:v>4.3999999999999995</c:v>
                </c:pt>
                <c:pt idx="9">
                  <c:v>4.8937499999999998</c:v>
                </c:pt>
                <c:pt idx="10">
                  <c:v>5.375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72160"/>
        <c:axId val="147172736"/>
      </c:scatterChart>
      <c:valAx>
        <c:axId val="1471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 per Hour Capacity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172736"/>
        <c:crosses val="autoZero"/>
        <c:crossBetween val="midCat"/>
      </c:valAx>
      <c:valAx>
        <c:axId val="147172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per Hour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17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204787</xdr:colOff>
      <xdr:row>14</xdr:row>
      <xdr:rowOff>19050</xdr:rowOff>
    </xdr:from>
    <xdr:to>
      <xdr:col>13</xdr:col>
      <xdr:colOff>509587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223837</xdr:colOff>
      <xdr:row>35</xdr:row>
      <xdr:rowOff>38100</xdr:rowOff>
    </xdr:from>
    <xdr:to>
      <xdr:col>13</xdr:col>
      <xdr:colOff>528637</xdr:colOff>
      <xdr:row>54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338137</xdr:colOff>
      <xdr:row>3</xdr:row>
      <xdr:rowOff>0</xdr:rowOff>
    </xdr:from>
    <xdr:to>
      <xdr:col>22</xdr:col>
      <xdr:colOff>33337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300037</xdr:colOff>
      <xdr:row>19</xdr:row>
      <xdr:rowOff>0</xdr:rowOff>
    </xdr:from>
    <xdr:to>
      <xdr:col>21</xdr:col>
      <xdr:colOff>604837</xdr:colOff>
      <xdr:row>33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44" workbookViewId="0">
      <selection activeCell="D68" sqref="D68"/>
    </sheetView>
  </sheetViews>
  <sheetFormatPr defaultRowHeight="15" x14ac:dyDescent="0.25"/>
  <cols>
    <col min="2" max="2" width="30.85546875" customWidth="1"/>
    <col min="3" max="3" width="13.28515625" customWidth="1"/>
    <col min="4" max="4" width="15.85546875" customWidth="1"/>
    <col min="5" max="5" width="11.85546875" customWidth="1"/>
    <col min="6" max="6" width="9.140625" style="2"/>
  </cols>
  <sheetData>
    <row r="1" spans="1:6" ht="23.25" x14ac:dyDescent="0.35">
      <c r="A1" s="1" t="s">
        <v>0</v>
      </c>
    </row>
    <row r="2" spans="1:6" x14ac:dyDescent="0.25">
      <c r="A2" t="s">
        <v>186</v>
      </c>
    </row>
    <row r="3" spans="1:6" ht="15.75" thickBot="1" x14ac:dyDescent="0.3"/>
    <row r="4" spans="1:6" x14ac:dyDescent="0.25">
      <c r="A4" s="200" t="s">
        <v>182</v>
      </c>
      <c r="B4" s="201"/>
      <c r="C4" s="201"/>
      <c r="D4" s="201"/>
      <c r="E4" s="202"/>
      <c r="F4" s="176"/>
    </row>
    <row r="5" spans="1:6" x14ac:dyDescent="0.25">
      <c r="A5" s="203"/>
      <c r="B5" s="204"/>
      <c r="C5" s="204"/>
      <c r="D5" s="204"/>
      <c r="E5" s="205"/>
      <c r="F5" s="176"/>
    </row>
    <row r="6" spans="1:6" x14ac:dyDescent="0.25">
      <c r="A6" s="203"/>
      <c r="B6" s="204"/>
      <c r="C6" s="204"/>
      <c r="D6" s="204"/>
      <c r="E6" s="205"/>
      <c r="F6" s="176"/>
    </row>
    <row r="7" spans="1:6" ht="15.75" thickBot="1" x14ac:dyDescent="0.3">
      <c r="A7" s="206"/>
      <c r="B7" s="207"/>
      <c r="C7" s="207"/>
      <c r="D7" s="207"/>
      <c r="E7" s="208"/>
      <c r="F7" s="176"/>
    </row>
    <row r="10" spans="1:6" x14ac:dyDescent="0.25">
      <c r="B10" s="95" t="s">
        <v>1</v>
      </c>
      <c r="C10" t="s">
        <v>202</v>
      </c>
      <c r="E10" t="s">
        <v>203</v>
      </c>
    </row>
    <row r="11" spans="1:6" x14ac:dyDescent="0.25">
      <c r="B11" s="136" t="s">
        <v>231</v>
      </c>
      <c r="C11" s="98">
        <v>60</v>
      </c>
      <c r="D11" t="s">
        <v>107</v>
      </c>
      <c r="E11" s="188">
        <f>C11*2200/2000</f>
        <v>66</v>
      </c>
      <c r="F11" s="2" t="s">
        <v>201</v>
      </c>
    </row>
    <row r="12" spans="1:6" s="2" customFormat="1" x14ac:dyDescent="0.25">
      <c r="B12" s="137" t="s">
        <v>232</v>
      </c>
      <c r="C12" s="99">
        <v>500</v>
      </c>
      <c r="D12" s="2" t="s">
        <v>246</v>
      </c>
      <c r="E12" s="193">
        <f>C12*2000/2200</f>
        <v>454.54545454545456</v>
      </c>
      <c r="F12" s="2" t="s">
        <v>204</v>
      </c>
    </row>
    <row r="13" spans="1:6" x14ac:dyDescent="0.25">
      <c r="B13" s="137" t="s">
        <v>233</v>
      </c>
      <c r="C13" s="99">
        <v>15</v>
      </c>
      <c r="D13" t="s">
        <v>106</v>
      </c>
      <c r="E13" s="189">
        <f>C13</f>
        <v>15</v>
      </c>
      <c r="F13" s="2" t="s">
        <v>205</v>
      </c>
    </row>
    <row r="14" spans="1:6" s="2" customFormat="1" x14ac:dyDescent="0.25">
      <c r="B14" s="137" t="s">
        <v>222</v>
      </c>
      <c r="C14" s="133">
        <v>10</v>
      </c>
      <c r="D14" s="2" t="s">
        <v>121</v>
      </c>
      <c r="E14" s="191">
        <f>C14</f>
        <v>10</v>
      </c>
      <c r="F14" s="96" t="s">
        <v>206</v>
      </c>
    </row>
    <row r="15" spans="1:6" s="2" customFormat="1" x14ac:dyDescent="0.25">
      <c r="B15" s="137" t="s">
        <v>187</v>
      </c>
      <c r="C15" s="177">
        <v>3</v>
      </c>
      <c r="D15" s="96" t="s">
        <v>188</v>
      </c>
      <c r="E15" s="192">
        <f>C15</f>
        <v>3</v>
      </c>
      <c r="F15" s="96" t="s">
        <v>207</v>
      </c>
    </row>
    <row r="16" spans="1:6" s="2" customFormat="1" x14ac:dyDescent="0.25">
      <c r="B16" s="137" t="s">
        <v>223</v>
      </c>
      <c r="C16" s="184">
        <v>10</v>
      </c>
      <c r="D16" s="96" t="s">
        <v>196</v>
      </c>
      <c r="E16" s="193">
        <f>C16</f>
        <v>10</v>
      </c>
      <c r="F16" s="96" t="s">
        <v>208</v>
      </c>
    </row>
    <row r="17" spans="1:6" x14ac:dyDescent="0.25">
      <c r="A17" s="2"/>
      <c r="B17" s="139" t="s">
        <v>224</v>
      </c>
      <c r="C17" s="133">
        <v>0.1</v>
      </c>
      <c r="D17" s="2" t="s">
        <v>245</v>
      </c>
      <c r="E17" s="191">
        <f>C17</f>
        <v>0.1</v>
      </c>
      <c r="F17" s="96" t="s">
        <v>209</v>
      </c>
    </row>
    <row r="18" spans="1:6" x14ac:dyDescent="0.25">
      <c r="A18" s="2"/>
      <c r="B18" s="140" t="s">
        <v>225</v>
      </c>
      <c r="C18" s="100">
        <v>3.79</v>
      </c>
      <c r="D18" s="96" t="s">
        <v>122</v>
      </c>
      <c r="E18" s="194">
        <f>C18/3.8</f>
        <v>0.99736842105263168</v>
      </c>
      <c r="F18" s="96" t="s">
        <v>210</v>
      </c>
    </row>
    <row r="20" spans="1:6" x14ac:dyDescent="0.25">
      <c r="B20" s="136" t="s">
        <v>226</v>
      </c>
      <c r="C20" s="98">
        <v>7000</v>
      </c>
      <c r="D20" t="s">
        <v>109</v>
      </c>
      <c r="E20" s="188">
        <f>C20</f>
        <v>7000</v>
      </c>
      <c r="F20" s="96" t="s">
        <v>211</v>
      </c>
    </row>
    <row r="21" spans="1:6" x14ac:dyDescent="0.25">
      <c r="B21" s="137" t="s">
        <v>227</v>
      </c>
      <c r="C21" s="99">
        <v>2000</v>
      </c>
      <c r="D21" t="s">
        <v>110</v>
      </c>
      <c r="E21" s="193">
        <f>C21/2.2</f>
        <v>909.09090909090901</v>
      </c>
      <c r="F21" s="96" t="s">
        <v>212</v>
      </c>
    </row>
    <row r="22" spans="1:6" x14ac:dyDescent="0.25">
      <c r="B22" s="137" t="s">
        <v>153</v>
      </c>
      <c r="C22" s="99">
        <v>0.5</v>
      </c>
      <c r="D22" t="s">
        <v>154</v>
      </c>
      <c r="E22" s="189">
        <f>C22</f>
        <v>0.5</v>
      </c>
      <c r="F22" s="96" t="s">
        <v>213</v>
      </c>
    </row>
    <row r="23" spans="1:6" x14ac:dyDescent="0.25">
      <c r="B23" s="138" t="s">
        <v>228</v>
      </c>
      <c r="C23" s="100">
        <v>2</v>
      </c>
      <c r="D23" t="s">
        <v>152</v>
      </c>
      <c r="E23" s="195">
        <f>C23/3.8</f>
        <v>0.52631578947368418</v>
      </c>
      <c r="F23" s="96" t="s">
        <v>214</v>
      </c>
    </row>
    <row r="24" spans="1:6" x14ac:dyDescent="0.25">
      <c r="B24" s="136" t="s">
        <v>229</v>
      </c>
      <c r="C24" s="98">
        <v>3000</v>
      </c>
      <c r="D24" s="2" t="s">
        <v>109</v>
      </c>
      <c r="E24" s="188">
        <f>C24</f>
        <v>3000</v>
      </c>
      <c r="F24" s="96" t="s">
        <v>211</v>
      </c>
    </row>
    <row r="25" spans="1:6" x14ac:dyDescent="0.25">
      <c r="B25" s="137" t="s">
        <v>230</v>
      </c>
      <c r="C25" s="99">
        <v>2000</v>
      </c>
      <c r="D25" s="2" t="s">
        <v>110</v>
      </c>
      <c r="E25" s="193">
        <f>C25/2.2</f>
        <v>909.09090909090901</v>
      </c>
      <c r="F25" s="96" t="s">
        <v>212</v>
      </c>
    </row>
    <row r="26" spans="1:6" x14ac:dyDescent="0.25">
      <c r="B26" s="137" t="s">
        <v>153</v>
      </c>
      <c r="C26" s="99">
        <v>0.5</v>
      </c>
      <c r="D26" s="2" t="s">
        <v>154</v>
      </c>
      <c r="E26" s="189">
        <f>C26</f>
        <v>0.5</v>
      </c>
      <c r="F26" s="96" t="s">
        <v>213</v>
      </c>
    </row>
    <row r="27" spans="1:6" x14ac:dyDescent="0.25">
      <c r="B27" s="137" t="s">
        <v>248</v>
      </c>
      <c r="C27" s="99">
        <v>0.5</v>
      </c>
      <c r="D27" s="2" t="s">
        <v>152</v>
      </c>
      <c r="E27" s="195">
        <f>C27/3.8</f>
        <v>0.13157894736842105</v>
      </c>
      <c r="F27" s="96" t="s">
        <v>214</v>
      </c>
    </row>
    <row r="28" spans="1:6" x14ac:dyDescent="0.25">
      <c r="B28" s="136" t="s">
        <v>234</v>
      </c>
      <c r="C28" s="178">
        <v>0</v>
      </c>
      <c r="D28" s="2" t="s">
        <v>109</v>
      </c>
      <c r="E28" s="188">
        <f>C28</f>
        <v>0</v>
      </c>
      <c r="F28" s="96" t="s">
        <v>211</v>
      </c>
    </row>
    <row r="29" spans="1:6" x14ac:dyDescent="0.25">
      <c r="B29" s="137" t="s">
        <v>235</v>
      </c>
      <c r="C29" s="179">
        <v>2000</v>
      </c>
      <c r="D29" s="2" t="s">
        <v>110</v>
      </c>
      <c r="E29" s="193">
        <f>C29/2.2</f>
        <v>909.09090909090901</v>
      </c>
      <c r="F29" s="96" t="s">
        <v>212</v>
      </c>
    </row>
    <row r="30" spans="1:6" x14ac:dyDescent="0.25">
      <c r="A30" s="2"/>
      <c r="B30" s="137" t="s">
        <v>153</v>
      </c>
      <c r="C30" s="179"/>
      <c r="D30" s="2" t="s">
        <v>154</v>
      </c>
      <c r="E30" s="189">
        <f>C30</f>
        <v>0</v>
      </c>
      <c r="F30" s="96" t="s">
        <v>213</v>
      </c>
    </row>
    <row r="31" spans="1:6" x14ac:dyDescent="0.25">
      <c r="B31" s="138" t="s">
        <v>249</v>
      </c>
      <c r="C31" s="180">
        <v>0</v>
      </c>
      <c r="D31" s="2" t="s">
        <v>247</v>
      </c>
      <c r="E31" s="189">
        <f>C31</f>
        <v>0</v>
      </c>
      <c r="F31" s="96" t="s">
        <v>215</v>
      </c>
    </row>
    <row r="32" spans="1:6" s="2" customFormat="1" x14ac:dyDescent="0.25">
      <c r="A32"/>
      <c r="B32" s="137" t="s">
        <v>236</v>
      </c>
      <c r="C32" s="99">
        <v>8500</v>
      </c>
      <c r="D32" s="2" t="s">
        <v>109</v>
      </c>
      <c r="E32" s="188">
        <f>C32</f>
        <v>8500</v>
      </c>
      <c r="F32" s="96" t="s">
        <v>211</v>
      </c>
    </row>
    <row r="33" spans="1:6" x14ac:dyDescent="0.25">
      <c r="B33" s="137" t="s">
        <v>237</v>
      </c>
      <c r="C33" s="99">
        <v>400</v>
      </c>
      <c r="D33" s="2" t="s">
        <v>110</v>
      </c>
      <c r="E33" s="193">
        <f>C33/2.2</f>
        <v>181.81818181818181</v>
      </c>
      <c r="F33" s="96" t="s">
        <v>212</v>
      </c>
    </row>
    <row r="34" spans="1:6" x14ac:dyDescent="0.25">
      <c r="A34" s="2"/>
      <c r="B34" s="137" t="s">
        <v>155</v>
      </c>
      <c r="C34" s="99">
        <v>1</v>
      </c>
      <c r="D34" s="2" t="s">
        <v>156</v>
      </c>
      <c r="E34" s="189">
        <f>C34</f>
        <v>1</v>
      </c>
      <c r="F34" s="96" t="s">
        <v>213</v>
      </c>
    </row>
    <row r="35" spans="1:6" s="2" customFormat="1" x14ac:dyDescent="0.25">
      <c r="A35"/>
      <c r="B35" s="137" t="s">
        <v>250</v>
      </c>
      <c r="C35" s="99"/>
      <c r="D35" s="2" t="s">
        <v>244</v>
      </c>
      <c r="E35" s="189">
        <f>C35</f>
        <v>0</v>
      </c>
      <c r="F35" s="96" t="s">
        <v>215</v>
      </c>
    </row>
    <row r="36" spans="1:6" s="2" customFormat="1" x14ac:dyDescent="0.25">
      <c r="A36"/>
      <c r="B36" s="138" t="s">
        <v>251</v>
      </c>
      <c r="C36" s="100">
        <v>0.6</v>
      </c>
      <c r="D36" s="2" t="s">
        <v>112</v>
      </c>
      <c r="E36" s="195">
        <f>C36/3.8</f>
        <v>0.15789473684210525</v>
      </c>
      <c r="F36" s="96" t="s">
        <v>214</v>
      </c>
    </row>
    <row r="37" spans="1:6" s="2" customFormat="1" x14ac:dyDescent="0.25">
      <c r="B37" s="136" t="s">
        <v>239</v>
      </c>
      <c r="C37" s="98">
        <v>500</v>
      </c>
      <c r="D37" s="2" t="s">
        <v>109</v>
      </c>
      <c r="E37" s="189">
        <f>C37</f>
        <v>500</v>
      </c>
      <c r="F37" s="96" t="s">
        <v>211</v>
      </c>
    </row>
    <row r="38" spans="1:6" s="2" customFormat="1" x14ac:dyDescent="0.25">
      <c r="B38" s="137" t="s">
        <v>238</v>
      </c>
      <c r="C38" s="99">
        <v>500</v>
      </c>
      <c r="D38" s="2" t="s">
        <v>110</v>
      </c>
      <c r="E38" s="193">
        <f>C38/2.2</f>
        <v>227.27272727272725</v>
      </c>
      <c r="F38" s="96" t="s">
        <v>212</v>
      </c>
    </row>
    <row r="39" spans="1:6" s="2" customFormat="1" x14ac:dyDescent="0.25">
      <c r="B39" s="137" t="s">
        <v>252</v>
      </c>
      <c r="C39" s="99"/>
      <c r="D39" s="2" t="s">
        <v>244</v>
      </c>
      <c r="E39" s="189">
        <f>C39</f>
        <v>0</v>
      </c>
      <c r="F39" s="96" t="s">
        <v>215</v>
      </c>
    </row>
    <row r="40" spans="1:6" s="2" customFormat="1" x14ac:dyDescent="0.25">
      <c r="B40" s="138" t="s">
        <v>153</v>
      </c>
      <c r="C40" s="100">
        <v>0.1</v>
      </c>
      <c r="D40" s="2" t="s">
        <v>156</v>
      </c>
      <c r="E40" s="190">
        <f>C40</f>
        <v>0.1</v>
      </c>
      <c r="F40" s="96" t="s">
        <v>213</v>
      </c>
    </row>
    <row r="41" spans="1:6" s="2" customFormat="1" x14ac:dyDescent="0.25">
      <c r="B41" s="136" t="s">
        <v>240</v>
      </c>
      <c r="C41" s="98">
        <v>0</v>
      </c>
      <c r="D41" s="2" t="s">
        <v>109</v>
      </c>
      <c r="E41" s="188">
        <f>C41</f>
        <v>0</v>
      </c>
      <c r="F41" s="96" t="s">
        <v>211</v>
      </c>
    </row>
    <row r="42" spans="1:6" s="2" customFormat="1" x14ac:dyDescent="0.25">
      <c r="B42" s="137" t="s">
        <v>241</v>
      </c>
      <c r="C42" s="99">
        <v>500</v>
      </c>
      <c r="D42" s="2" t="s">
        <v>110</v>
      </c>
      <c r="E42" s="193">
        <f>C42/2.2</f>
        <v>227.27272727272725</v>
      </c>
      <c r="F42" s="96" t="s">
        <v>212</v>
      </c>
    </row>
    <row r="43" spans="1:6" s="2" customFormat="1" x14ac:dyDescent="0.25">
      <c r="B43" s="137" t="s">
        <v>153</v>
      </c>
      <c r="C43" s="99">
        <v>0.25</v>
      </c>
      <c r="D43" s="2" t="s">
        <v>154</v>
      </c>
      <c r="E43" s="189">
        <f>C43</f>
        <v>0.25</v>
      </c>
      <c r="F43" s="96" t="s">
        <v>213</v>
      </c>
    </row>
    <row r="44" spans="1:6" s="2" customFormat="1" x14ac:dyDescent="0.25">
      <c r="B44" s="137" t="s">
        <v>242</v>
      </c>
      <c r="C44" s="99">
        <v>0</v>
      </c>
      <c r="D44" s="2" t="s">
        <v>111</v>
      </c>
      <c r="E44" s="190">
        <f>C44</f>
        <v>0</v>
      </c>
      <c r="F44" s="96" t="s">
        <v>215</v>
      </c>
    </row>
    <row r="45" spans="1:6" x14ac:dyDescent="0.25">
      <c r="A45" s="2"/>
      <c r="B45" s="137" t="s">
        <v>164</v>
      </c>
      <c r="C45" s="99">
        <v>5</v>
      </c>
      <c r="D45" s="2" t="s">
        <v>165</v>
      </c>
      <c r="E45" s="189">
        <f>C45</f>
        <v>5</v>
      </c>
      <c r="F45" s="96" t="s">
        <v>216</v>
      </c>
    </row>
    <row r="46" spans="1:6" x14ac:dyDescent="0.25">
      <c r="A46" s="2"/>
      <c r="B46" s="138" t="s">
        <v>163</v>
      </c>
      <c r="C46" s="100">
        <v>5</v>
      </c>
      <c r="D46" s="2" t="s">
        <v>243</v>
      </c>
      <c r="E46" s="195">
        <f>C46*2000/2200</f>
        <v>4.5454545454545459</v>
      </c>
      <c r="F46" s="96" t="s">
        <v>217</v>
      </c>
    </row>
    <row r="47" spans="1:6" x14ac:dyDescent="0.25">
      <c r="A47" s="2"/>
      <c r="E47" s="2"/>
    </row>
    <row r="49" spans="1:6" x14ac:dyDescent="0.25">
      <c r="B49" s="95" t="s">
        <v>113</v>
      </c>
    </row>
    <row r="50" spans="1:6" s="2" customFormat="1" x14ac:dyDescent="0.25">
      <c r="A50"/>
      <c r="B50"/>
      <c r="C50" s="168"/>
      <c r="D50"/>
      <c r="E50"/>
    </row>
    <row r="51" spans="1:6" x14ac:dyDescent="0.25">
      <c r="B51" s="136" t="s">
        <v>114</v>
      </c>
      <c r="C51" s="97">
        <f>'Pelleting Calcs'!C20+'Pelleting Calcs'!C30+'Pelleting Calcs'!C42</f>
        <v>0</v>
      </c>
      <c r="D51" t="s">
        <v>253</v>
      </c>
      <c r="E51" s="188">
        <f>C51*2200/2000</f>
        <v>0</v>
      </c>
      <c r="F51" s="2" t="s">
        <v>221</v>
      </c>
    </row>
    <row r="52" spans="1:6" x14ac:dyDescent="0.25">
      <c r="B52" s="137"/>
      <c r="C52" s="97">
        <f>'Pelleting Calcs'!C7+'Pelleting Calcs'!C14+'Pelleting Calcs'!C29</f>
        <v>5.5</v>
      </c>
      <c r="D52" t="s">
        <v>115</v>
      </c>
      <c r="E52" s="193">
        <f>C52*3.8*2200/2000</f>
        <v>22.99</v>
      </c>
      <c r="F52" s="2" t="s">
        <v>220</v>
      </c>
    </row>
    <row r="53" spans="1:6" x14ac:dyDescent="0.25">
      <c r="A53" s="2"/>
      <c r="B53" s="137" t="s">
        <v>125</v>
      </c>
      <c r="C53" s="165">
        <f>(17*10^9)/(3600000*C51+36400000*3.8*C52)</f>
        <v>22.346074977653924</v>
      </c>
      <c r="D53" s="2" t="s">
        <v>126</v>
      </c>
      <c r="E53" s="191">
        <f>C53</f>
        <v>22.346074977653924</v>
      </c>
      <c r="F53" s="2" t="s">
        <v>219</v>
      </c>
    </row>
    <row r="54" spans="1:6" x14ac:dyDescent="0.25">
      <c r="B54" s="138" t="s">
        <v>116</v>
      </c>
      <c r="C54" s="175">
        <f>'Pelleting Calcs'!C10+'Pelleting Calcs'!C16+'Pelleting Calcs'!C22+'Pelleting Calcs'!C32+'Pelleting Calcs'!C45</f>
        <v>7.1</v>
      </c>
      <c r="D54" t="s">
        <v>117</v>
      </c>
      <c r="E54" s="195">
        <f>C54*2200/2000</f>
        <v>7.81</v>
      </c>
      <c r="F54" s="2" t="s">
        <v>218</v>
      </c>
    </row>
    <row r="55" spans="1:6" s="2" customFormat="1" x14ac:dyDescent="0.25">
      <c r="A55"/>
      <c r="B55"/>
      <c r="C55"/>
      <c r="D55"/>
      <c r="E55"/>
    </row>
    <row r="56" spans="1:6" s="2" customFormat="1" x14ac:dyDescent="0.25">
      <c r="B56" s="183" t="s">
        <v>191</v>
      </c>
      <c r="C56" s="174">
        <f>C20+C24+C28+C32+C37+C41</f>
        <v>19000</v>
      </c>
      <c r="D56" s="2" t="s">
        <v>109</v>
      </c>
      <c r="E56" s="198">
        <f>C56</f>
        <v>19000</v>
      </c>
    </row>
    <row r="57" spans="1:6" x14ac:dyDescent="0.25">
      <c r="A57" s="2"/>
      <c r="B57" s="2"/>
      <c r="C57" s="2"/>
      <c r="D57" s="2"/>
      <c r="E57" s="2"/>
    </row>
    <row r="58" spans="1:6" x14ac:dyDescent="0.25">
      <c r="B58" s="136" t="s">
        <v>118</v>
      </c>
      <c r="C58" s="167">
        <f>'Pelleting Calcs'!D59</f>
        <v>63.529411764705884</v>
      </c>
      <c r="D58" t="s">
        <v>105</v>
      </c>
      <c r="E58" s="196">
        <f>C58*2200/2000</f>
        <v>69.882352941176478</v>
      </c>
      <c r="F58" s="2" t="s">
        <v>201</v>
      </c>
    </row>
    <row r="59" spans="1:6" x14ac:dyDescent="0.25">
      <c r="B59" s="137" t="s">
        <v>119</v>
      </c>
      <c r="C59" s="166">
        <f>'Pelleting Calcs'!H7+'Pelleting Calcs'!H14+'Pelleting Calcs'!H20+'Pelleting Calcs'!H29+'Pelleting Calcs'!H30+'Pelleting Calcs'!H36+'Pelleting Calcs'!H42</f>
        <v>21.402352941176467</v>
      </c>
      <c r="D59" s="2" t="s">
        <v>105</v>
      </c>
      <c r="E59" s="197">
        <f t="shared" ref="E59:E63" si="0">C59*2200/2000</f>
        <v>23.542588235294115</v>
      </c>
      <c r="F59" s="2" t="s">
        <v>201</v>
      </c>
    </row>
    <row r="60" spans="1:6" x14ac:dyDescent="0.25">
      <c r="B60" s="137" t="s">
        <v>120</v>
      </c>
      <c r="C60" s="181">
        <f>'Pelleting Calcs'!H10+'Pelleting Calcs'!H16+'Pelleting Calcs'!H22+'Pelleting Calcs'!H32+'Pelleting Calcs'!H38+'Pelleting Calcs'!H45</f>
        <v>75.64705882352942</v>
      </c>
      <c r="D60" s="2" t="s">
        <v>105</v>
      </c>
      <c r="E60" s="197">
        <f t="shared" si="0"/>
        <v>83.211764705882359</v>
      </c>
      <c r="F60" s="2" t="s">
        <v>201</v>
      </c>
    </row>
    <row r="61" spans="1:6" x14ac:dyDescent="0.25">
      <c r="B61" s="137" t="s">
        <v>123</v>
      </c>
      <c r="C61" s="166">
        <f>'Pelleting Calcs'!H44</f>
        <v>25.000000000000004</v>
      </c>
      <c r="D61" s="2" t="s">
        <v>105</v>
      </c>
      <c r="E61" s="197">
        <f t="shared" si="0"/>
        <v>27.500000000000004</v>
      </c>
      <c r="F61" s="2" t="s">
        <v>201</v>
      </c>
    </row>
    <row r="62" spans="1:6" x14ac:dyDescent="0.25">
      <c r="B62" s="137" t="s">
        <v>124</v>
      </c>
      <c r="C62" s="166">
        <f>'Pelleting Calcs'!H6+'Pelleting Calcs'!H8+'Pelleting Calcs'!H9+'Pelleting Calcs'!H13+'Pelleting Calcs'!H15+'Pelleting Calcs'!H19+'Pelleting Calcs'!H21+'Pelleting Calcs'!H26+'Pelleting Calcs'!H27+'Pelleting Calcs'!H28+'Pelleting Calcs'!H31+'Pelleting Calcs'!H35+'Pelleting Calcs'!H37+'Pelleting Calcs'!H41+'Pelleting Calcs'!H43</f>
        <v>21.933088235294115</v>
      </c>
      <c r="D62" s="2" t="s">
        <v>105</v>
      </c>
      <c r="E62" s="197">
        <f t="shared" si="0"/>
        <v>24.126397058823525</v>
      </c>
      <c r="F62" s="2" t="s">
        <v>201</v>
      </c>
    </row>
    <row r="63" spans="1:6" x14ac:dyDescent="0.25">
      <c r="B63" s="173" t="s">
        <v>190</v>
      </c>
      <c r="C63" s="174">
        <f>SUM(C58:C62)</f>
        <v>207.5119117647059</v>
      </c>
      <c r="D63" s="2" t="s">
        <v>105</v>
      </c>
      <c r="E63" s="198">
        <f t="shared" si="0"/>
        <v>228.26310294117647</v>
      </c>
      <c r="F63" s="2" t="s">
        <v>201</v>
      </c>
    </row>
    <row r="64" spans="1:6" x14ac:dyDescent="0.25">
      <c r="E64" s="199"/>
    </row>
    <row r="65" spans="2:6" x14ac:dyDescent="0.25">
      <c r="B65" s="173" t="s">
        <v>189</v>
      </c>
      <c r="C65" s="174">
        <f>((100+C16)/100)*C63+(C20+C24+C28+C32+C37+C41)/(C15*C12)</f>
        <v>240.92976960784316</v>
      </c>
      <c r="D65" t="s">
        <v>105</v>
      </c>
      <c r="E65" s="198">
        <f>C65*2200/2000</f>
        <v>265.0227465686275</v>
      </c>
      <c r="F65" s="2" t="s">
        <v>201</v>
      </c>
    </row>
    <row r="75" spans="2:6" x14ac:dyDescent="0.25">
      <c r="B75" s="95"/>
    </row>
    <row r="77" spans="2:6" x14ac:dyDescent="0.25">
      <c r="C77" s="182"/>
    </row>
    <row r="78" spans="2:6" x14ac:dyDescent="0.25">
      <c r="C78" s="182"/>
    </row>
    <row r="79" spans="2:6" x14ac:dyDescent="0.25">
      <c r="C79" s="182"/>
    </row>
    <row r="80" spans="2:6" x14ac:dyDescent="0.25">
      <c r="C80" s="182"/>
    </row>
    <row r="81" spans="3:3" x14ac:dyDescent="0.25">
      <c r="C81" s="182"/>
    </row>
    <row r="82" spans="3:3" x14ac:dyDescent="0.25">
      <c r="C82" s="182"/>
    </row>
    <row r="83" spans="3:3" x14ac:dyDescent="0.25">
      <c r="C83" s="182"/>
    </row>
    <row r="84" spans="3:3" x14ac:dyDescent="0.25">
      <c r="C84" s="182"/>
    </row>
    <row r="85" spans="3:3" x14ac:dyDescent="0.25">
      <c r="C85" s="182"/>
    </row>
    <row r="86" spans="3:3" x14ac:dyDescent="0.25">
      <c r="C86" s="182"/>
    </row>
    <row r="87" spans="3:3" x14ac:dyDescent="0.25">
      <c r="C87" s="182"/>
    </row>
    <row r="88" spans="3:3" x14ac:dyDescent="0.25">
      <c r="C88" s="182"/>
    </row>
    <row r="89" spans="3:3" x14ac:dyDescent="0.25">
      <c r="C89" s="182"/>
    </row>
    <row r="90" spans="3:3" x14ac:dyDescent="0.25">
      <c r="C90" s="182"/>
    </row>
    <row r="91" spans="3:3" x14ac:dyDescent="0.25">
      <c r="C91" s="182"/>
    </row>
    <row r="92" spans="3:3" x14ac:dyDescent="0.25">
      <c r="C92" s="182"/>
    </row>
    <row r="93" spans="3:3" x14ac:dyDescent="0.25">
      <c r="C93" s="182"/>
    </row>
    <row r="94" spans="3:3" x14ac:dyDescent="0.25">
      <c r="C94" s="182"/>
    </row>
    <row r="95" spans="3:3" x14ac:dyDescent="0.25">
      <c r="C95" s="182"/>
    </row>
    <row r="96" spans="3:3" x14ac:dyDescent="0.25">
      <c r="C96" s="182"/>
    </row>
  </sheetData>
  <mergeCells count="1">
    <mergeCell ref="A4:E7"/>
  </mergeCells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75" zoomScaleNormal="75" workbookViewId="0">
      <selection sqref="A1:K3"/>
    </sheetView>
  </sheetViews>
  <sheetFormatPr defaultRowHeight="15.75" x14ac:dyDescent="0.25"/>
  <cols>
    <col min="1" max="1" width="17.140625" style="4" customWidth="1"/>
    <col min="2" max="2" width="36.7109375" style="4" bestFit="1" customWidth="1"/>
    <col min="3" max="3" width="15.140625" style="6" customWidth="1"/>
    <col min="4" max="4" width="17.42578125" style="6" customWidth="1"/>
    <col min="5" max="5" width="15.85546875" style="4" bestFit="1" customWidth="1"/>
    <col min="6" max="6" width="22.140625" style="4" customWidth="1"/>
    <col min="7" max="8" width="9.5703125" style="4" customWidth="1"/>
    <col min="9" max="9" width="11.5703125" style="4" bestFit="1" customWidth="1"/>
    <col min="10" max="10" width="13" style="7" customWidth="1"/>
    <col min="11" max="11" width="14.42578125" style="7" customWidth="1"/>
    <col min="12" max="12" width="9.140625" style="7"/>
    <col min="13" max="13" width="37.28515625" style="7" customWidth="1"/>
    <col min="14" max="14" width="10.85546875" style="7" bestFit="1" customWidth="1"/>
    <col min="15" max="15" width="9.140625" style="7"/>
    <col min="16" max="16" width="129.42578125" style="7" bestFit="1" customWidth="1"/>
    <col min="17" max="16384" width="9.140625" style="7"/>
  </cols>
  <sheetData>
    <row r="1" spans="1:16" ht="15" x14ac:dyDescent="0.25">
      <c r="A1" s="212" t="s">
        <v>71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6" ht="15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6" ht="1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6" ht="16.5" thickBot="1" x14ac:dyDescent="0.3">
      <c r="A4" s="3"/>
      <c r="C4" s="5"/>
      <c r="F4" s="6"/>
      <c r="G4" s="6"/>
      <c r="H4" s="6"/>
      <c r="I4" s="6"/>
    </row>
    <row r="5" spans="1:16" ht="39.75" customHeight="1" thickBot="1" x14ac:dyDescent="0.4">
      <c r="A5" s="210" t="s">
        <v>2</v>
      </c>
      <c r="B5" s="211"/>
      <c r="C5" s="46" t="s">
        <v>3</v>
      </c>
      <c r="D5" s="44" t="s">
        <v>4</v>
      </c>
      <c r="E5" s="44" t="s">
        <v>5</v>
      </c>
      <c r="F5" s="45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M5" s="61" t="s">
        <v>12</v>
      </c>
    </row>
    <row r="6" spans="1:16" x14ac:dyDescent="0.25">
      <c r="E6" s="10"/>
      <c r="F6" s="9"/>
      <c r="G6" s="9"/>
      <c r="H6" s="9"/>
      <c r="I6" s="9"/>
      <c r="J6" s="59"/>
      <c r="K6" s="43"/>
      <c r="M6" s="38" t="s">
        <v>13</v>
      </c>
      <c r="N6" s="39">
        <v>0.04</v>
      </c>
    </row>
    <row r="7" spans="1:16" ht="18.75" x14ac:dyDescent="0.3">
      <c r="A7" s="26" t="s">
        <v>14</v>
      </c>
      <c r="B7" s="27"/>
      <c r="C7" s="28"/>
      <c r="D7" s="28"/>
      <c r="E7" s="29"/>
      <c r="F7" s="30"/>
      <c r="G7" s="30"/>
      <c r="H7" s="30"/>
      <c r="I7" s="30"/>
      <c r="J7" s="59"/>
      <c r="K7" s="43"/>
      <c r="M7" s="38" t="s">
        <v>15</v>
      </c>
      <c r="N7" s="37">
        <v>12</v>
      </c>
    </row>
    <row r="8" spans="1:16" x14ac:dyDescent="0.25">
      <c r="A8" s="52" t="s">
        <v>16</v>
      </c>
      <c r="B8" s="53"/>
      <c r="C8" s="54"/>
      <c r="D8" s="54"/>
      <c r="E8" s="55"/>
      <c r="F8" s="56"/>
      <c r="G8" s="56"/>
      <c r="H8" s="56"/>
      <c r="I8" s="56"/>
      <c r="J8" s="59"/>
      <c r="K8" s="43"/>
      <c r="M8" s="209" t="s">
        <v>17</v>
      </c>
      <c r="N8" s="209"/>
    </row>
    <row r="9" spans="1:16" x14ac:dyDescent="0.25">
      <c r="B9" s="11" t="s">
        <v>18</v>
      </c>
      <c r="C9" s="33">
        <v>8</v>
      </c>
      <c r="D9" s="6" t="s">
        <v>19</v>
      </c>
      <c r="E9" s="34">
        <v>10</v>
      </c>
      <c r="F9" s="12">
        <f>C9*E9</f>
        <v>80</v>
      </c>
      <c r="G9" s="9">
        <v>0</v>
      </c>
      <c r="H9" s="9">
        <v>0</v>
      </c>
      <c r="I9" s="9">
        <v>0</v>
      </c>
      <c r="J9" s="58">
        <f>SUM(F9:I9)</f>
        <v>80</v>
      </c>
      <c r="K9" s="65">
        <f>F9+(G9/(1+$N$6)^1)+(H9/(1+$N$6)^2)+(I9*((1+$N$6)^$N$7-1)/($N$6*(1+$N$6)^$N$7))/(1+$N$6)^2</f>
        <v>80</v>
      </c>
      <c r="M9" s="38" t="s">
        <v>20</v>
      </c>
      <c r="N9" s="37">
        <v>4</v>
      </c>
    </row>
    <row r="10" spans="1:16" x14ac:dyDescent="0.25">
      <c r="A10" s="47" t="s">
        <v>21</v>
      </c>
      <c r="B10" s="48"/>
      <c r="C10" s="49"/>
      <c r="D10" s="49"/>
      <c r="E10" s="50"/>
      <c r="F10" s="51"/>
      <c r="G10" s="51"/>
      <c r="H10" s="51"/>
      <c r="I10" s="51"/>
      <c r="J10" s="59"/>
      <c r="K10" s="65">
        <f t="shared" ref="K10:K30" si="0">F10+(G10/(1+$N$6)^1)+(H10/(1+$N$6)^2)+(I10*((1+$N$6)^$N$7-1)/($N$6*(1+$N$6)^$N$7))/(1+$N$6)^2</f>
        <v>0</v>
      </c>
      <c r="M10" s="38" t="s">
        <v>22</v>
      </c>
      <c r="N10" s="37">
        <v>2</v>
      </c>
    </row>
    <row r="11" spans="1:16" ht="31.5" x14ac:dyDescent="0.25">
      <c r="B11" s="4" t="s">
        <v>23</v>
      </c>
      <c r="C11" s="31">
        <v>10</v>
      </c>
      <c r="D11" s="16" t="s">
        <v>24</v>
      </c>
      <c r="E11" s="32">
        <v>0.56000000000000005</v>
      </c>
      <c r="F11" s="9">
        <f>$E11*$C11*0</f>
        <v>0</v>
      </c>
      <c r="G11" s="23">
        <f>$E11*$C11*($C$33-2)</f>
        <v>28.000000000000004</v>
      </c>
      <c r="H11" s="66">
        <f>$E11*$C11*($C$33)</f>
        <v>39.200000000000003</v>
      </c>
      <c r="I11" s="23">
        <f>$E11*$C11*C33</f>
        <v>39.200000000000003</v>
      </c>
      <c r="J11" s="60">
        <f>F11+G11+H11+(I11*12)</f>
        <v>537.6</v>
      </c>
      <c r="K11" s="65">
        <f t="shared" si="0"/>
        <v>403.30518806539959</v>
      </c>
      <c r="M11" s="38" t="s">
        <v>25</v>
      </c>
      <c r="N11" s="37">
        <v>863</v>
      </c>
    </row>
    <row r="12" spans="1:16" ht="33" x14ac:dyDescent="0.35">
      <c r="B12" s="4" t="s">
        <v>26</v>
      </c>
      <c r="C12" s="31">
        <v>4</v>
      </c>
      <c r="D12" s="16" t="s">
        <v>24</v>
      </c>
      <c r="E12" s="32">
        <v>0.63</v>
      </c>
      <c r="F12" s="9">
        <v>0</v>
      </c>
      <c r="G12" s="23">
        <f>$E12*$C12*($C$33-2)</f>
        <v>12.6</v>
      </c>
      <c r="H12" s="66">
        <f>$E12*$C12*($C$33)</f>
        <v>17.64</v>
      </c>
      <c r="I12" s="23">
        <f>$E12*$C12*C33</f>
        <v>17.64</v>
      </c>
      <c r="J12" s="60">
        <f t="shared" ref="J12:J29" si="1">F12+G12+H12+(I12*12)</f>
        <v>241.92000000000002</v>
      </c>
      <c r="K12" s="65">
        <f t="shared" si="0"/>
        <v>181.48733462942977</v>
      </c>
    </row>
    <row r="13" spans="1:16" ht="33" x14ac:dyDescent="0.35">
      <c r="B13" s="4" t="s">
        <v>27</v>
      </c>
      <c r="C13" s="31">
        <v>15</v>
      </c>
      <c r="D13" s="16" t="s">
        <v>24</v>
      </c>
      <c r="E13" s="32">
        <v>0.48</v>
      </c>
      <c r="F13" s="9">
        <v>0</v>
      </c>
      <c r="G13" s="23">
        <f>$E13*$C13*($C$33-2)</f>
        <v>36</v>
      </c>
      <c r="H13" s="66">
        <f>$E13*$C13*($C$33)</f>
        <v>50.399999999999991</v>
      </c>
      <c r="I13" s="23">
        <f>$E13*$C13*C33</f>
        <v>50.399999999999991</v>
      </c>
      <c r="J13" s="60">
        <f t="shared" si="1"/>
        <v>691.19999999999993</v>
      </c>
      <c r="K13" s="65">
        <f t="shared" si="0"/>
        <v>518.53524179837075</v>
      </c>
      <c r="M13" s="13" t="s">
        <v>28</v>
      </c>
    </row>
    <row r="14" spans="1:16" ht="18" x14ac:dyDescent="0.25">
      <c r="B14" s="4" t="s">
        <v>29</v>
      </c>
      <c r="C14" s="31" t="s">
        <v>30</v>
      </c>
      <c r="D14" s="16" t="s">
        <v>31</v>
      </c>
      <c r="E14" s="34">
        <v>10.6</v>
      </c>
      <c r="F14" s="9">
        <v>0</v>
      </c>
      <c r="G14" s="23">
        <v>10.6</v>
      </c>
      <c r="H14" s="12">
        <v>10.6</v>
      </c>
      <c r="I14" s="23">
        <v>10.6</v>
      </c>
      <c r="J14" s="60">
        <f t="shared" si="1"/>
        <v>148.39999999999998</v>
      </c>
      <c r="K14" s="65">
        <f>F14+(G14/(1+$N$6)^1)+(H14/(1+$N$6)^2)+(I14*((1+$N$6)^$N$7-1)/($N$6*(1+$N$6)^$N$7))/(1+$N$6)^2</f>
        <v>111.96910305222144</v>
      </c>
      <c r="M14" s="13"/>
    </row>
    <row r="15" spans="1:16" ht="29.45" customHeight="1" x14ac:dyDescent="0.25">
      <c r="B15" s="4" t="s">
        <v>32</v>
      </c>
      <c r="C15" s="40" t="s">
        <v>33</v>
      </c>
      <c r="D15" s="6" t="s">
        <v>34</v>
      </c>
      <c r="E15" s="32">
        <v>38</v>
      </c>
      <c r="F15" s="9">
        <f>N9*E15</f>
        <v>152</v>
      </c>
      <c r="G15" s="23">
        <f>(E15*N10)*3/13</f>
        <v>17.53846153846154</v>
      </c>
      <c r="H15" s="23">
        <f>(E15*N10)*3/13</f>
        <v>17.53846153846154</v>
      </c>
      <c r="I15" s="23">
        <f>(E15*N10)*3/13</f>
        <v>17.53846153846154</v>
      </c>
      <c r="J15" s="60">
        <f t="shared" si="1"/>
        <v>397.53846153846155</v>
      </c>
      <c r="K15" s="65">
        <f t="shared" si="0"/>
        <v>337.26092522428513</v>
      </c>
      <c r="M15" s="71" t="s">
        <v>35</v>
      </c>
      <c r="N15" s="4"/>
      <c r="O15" s="4"/>
      <c r="P15" s="4"/>
    </row>
    <row r="16" spans="1:16" ht="18" x14ac:dyDescent="0.25">
      <c r="A16" s="13"/>
      <c r="B16" s="13" t="s">
        <v>36</v>
      </c>
      <c r="C16" s="14" t="s">
        <v>37</v>
      </c>
      <c r="D16" s="14" t="s">
        <v>38</v>
      </c>
      <c r="E16" s="35">
        <v>15</v>
      </c>
      <c r="F16" s="15">
        <f>E16/5</f>
        <v>3</v>
      </c>
      <c r="G16" s="15">
        <f>E16/15</f>
        <v>1</v>
      </c>
      <c r="H16" s="15">
        <f>E16/15</f>
        <v>1</v>
      </c>
      <c r="I16" s="15">
        <f>E16/15</f>
        <v>1</v>
      </c>
      <c r="J16" s="60">
        <f>F16+G16+H16+(I16*12)</f>
        <v>17</v>
      </c>
      <c r="K16" s="65">
        <f t="shared" si="0"/>
        <v>13.563122929454854</v>
      </c>
      <c r="M16" s="57" t="s">
        <v>39</v>
      </c>
      <c r="N16" s="4"/>
      <c r="O16" s="4" t="s">
        <v>40</v>
      </c>
    </row>
    <row r="17" spans="1:16" ht="18.75" customHeight="1" x14ac:dyDescent="0.25">
      <c r="A17" s="47" t="s">
        <v>41</v>
      </c>
      <c r="B17" s="48"/>
      <c r="C17" s="49"/>
      <c r="D17" s="49"/>
      <c r="E17" s="50"/>
      <c r="F17" s="51"/>
      <c r="G17" s="51"/>
      <c r="H17" s="51"/>
      <c r="I17" s="51"/>
      <c r="J17" s="60"/>
      <c r="K17" s="65"/>
      <c r="M17" s="71" t="s">
        <v>42</v>
      </c>
      <c r="N17" s="4"/>
      <c r="O17" s="4"/>
      <c r="P17" s="4"/>
    </row>
    <row r="18" spans="1:16" ht="19.899999999999999" customHeight="1" x14ac:dyDescent="0.25">
      <c r="B18" s="4" t="s">
        <v>43</v>
      </c>
      <c r="C18" s="6" t="s">
        <v>44</v>
      </c>
      <c r="D18" s="6" t="s">
        <v>45</v>
      </c>
      <c r="E18" s="32">
        <v>6.5</v>
      </c>
      <c r="F18" s="23">
        <f>E18</f>
        <v>6.5</v>
      </c>
      <c r="G18" s="23">
        <v>0</v>
      </c>
      <c r="H18" s="23">
        <v>0</v>
      </c>
      <c r="I18" s="23">
        <v>0</v>
      </c>
      <c r="J18" s="60">
        <f t="shared" si="1"/>
        <v>6.5</v>
      </c>
      <c r="K18" s="65">
        <f t="shared" si="0"/>
        <v>6.5</v>
      </c>
      <c r="M18" s="57" t="s">
        <v>46</v>
      </c>
      <c r="N18" s="4"/>
      <c r="O18" s="4"/>
      <c r="P18" s="4"/>
    </row>
    <row r="19" spans="1:16" ht="18" x14ac:dyDescent="0.25">
      <c r="B19" s="4" t="s">
        <v>47</v>
      </c>
      <c r="C19" s="6" t="s">
        <v>48</v>
      </c>
      <c r="D19" s="6" t="s">
        <v>45</v>
      </c>
      <c r="E19" s="32">
        <v>23</v>
      </c>
      <c r="F19" s="23">
        <f>E19</f>
        <v>23</v>
      </c>
      <c r="G19" s="23">
        <v>0</v>
      </c>
      <c r="H19" s="23">
        <v>0</v>
      </c>
      <c r="I19" s="23">
        <v>0</v>
      </c>
      <c r="J19" s="60">
        <f t="shared" si="1"/>
        <v>23</v>
      </c>
      <c r="K19" s="65">
        <f t="shared" si="0"/>
        <v>23</v>
      </c>
      <c r="M19" s="4" t="s">
        <v>49</v>
      </c>
    </row>
    <row r="20" spans="1:16" ht="18" x14ac:dyDescent="0.25">
      <c r="B20" s="4" t="s">
        <v>47</v>
      </c>
      <c r="C20" s="6" t="s">
        <v>50</v>
      </c>
      <c r="D20" s="6" t="s">
        <v>45</v>
      </c>
      <c r="E20" s="32">
        <v>3</v>
      </c>
      <c r="F20" s="23">
        <v>0</v>
      </c>
      <c r="G20" s="23">
        <v>3</v>
      </c>
      <c r="H20" s="23">
        <v>0</v>
      </c>
      <c r="I20" s="23">
        <v>0</v>
      </c>
      <c r="J20" s="60">
        <f t="shared" si="1"/>
        <v>3</v>
      </c>
      <c r="K20" s="65">
        <f t="shared" si="0"/>
        <v>2.8846153846153846</v>
      </c>
      <c r="M20" s="57" t="s">
        <v>51</v>
      </c>
      <c r="N20" s="4"/>
      <c r="O20" s="4"/>
      <c r="P20" s="4"/>
    </row>
    <row r="21" spans="1:16" ht="18" x14ac:dyDescent="0.25">
      <c r="B21" s="4" t="s">
        <v>52</v>
      </c>
      <c r="C21" s="31">
        <v>3</v>
      </c>
      <c r="D21" s="6" t="s">
        <v>45</v>
      </c>
      <c r="E21" s="34">
        <v>11.5</v>
      </c>
      <c r="F21" s="23">
        <v>23</v>
      </c>
      <c r="G21" s="67">
        <v>11.5</v>
      </c>
      <c r="H21" s="67">
        <v>0</v>
      </c>
      <c r="I21" s="67">
        <v>0</v>
      </c>
      <c r="J21" s="68">
        <f t="shared" si="1"/>
        <v>34.5</v>
      </c>
      <c r="K21" s="69">
        <f>F21+(G21/(1+$N$6)^1)+(H21/(1+$N$6)^2)+(I21*((1+$N$6)^$N$7-1)/($N$6*(1+$N$6)^$N$7))/(1+$N$6)^2</f>
        <v>34.057692307692307</v>
      </c>
      <c r="L21" s="63"/>
      <c r="M21" s="57" t="s">
        <v>53</v>
      </c>
      <c r="N21" s="4"/>
      <c r="O21" s="4"/>
      <c r="P21" s="4"/>
    </row>
    <row r="22" spans="1:16" ht="18" x14ac:dyDescent="0.25">
      <c r="A22" s="47" t="s">
        <v>54</v>
      </c>
      <c r="B22" s="53"/>
      <c r="C22" s="54"/>
      <c r="D22" s="54"/>
      <c r="E22" s="55"/>
      <c r="F22" s="56"/>
      <c r="G22" s="62"/>
      <c r="H22" s="62"/>
      <c r="I22" s="62"/>
      <c r="J22" s="68"/>
      <c r="K22" s="69"/>
      <c r="L22" s="63"/>
      <c r="M22" s="57" t="s">
        <v>55</v>
      </c>
      <c r="N22" s="4"/>
      <c r="O22" s="4"/>
      <c r="P22" s="4"/>
    </row>
    <row r="23" spans="1:16" ht="18" x14ac:dyDescent="0.25">
      <c r="B23" s="4" t="s">
        <v>56</v>
      </c>
      <c r="C23" s="31">
        <v>1</v>
      </c>
      <c r="D23" s="6" t="s">
        <v>45</v>
      </c>
      <c r="E23" s="34">
        <v>24.9</v>
      </c>
      <c r="F23" s="9">
        <f>E23*C23</f>
        <v>24.9</v>
      </c>
      <c r="G23" s="62">
        <v>0</v>
      </c>
      <c r="H23" s="62">
        <v>0</v>
      </c>
      <c r="I23" s="62">
        <v>0</v>
      </c>
      <c r="J23" s="68">
        <f t="shared" si="1"/>
        <v>24.9</v>
      </c>
      <c r="K23" s="69">
        <f t="shared" si="0"/>
        <v>24.9</v>
      </c>
      <c r="L23" s="63"/>
      <c r="M23" s="57" t="s">
        <v>57</v>
      </c>
      <c r="N23" s="4"/>
      <c r="O23" s="4"/>
      <c r="P23" s="4"/>
    </row>
    <row r="24" spans="1:16" ht="18" x14ac:dyDescent="0.25">
      <c r="B24" s="4" t="s">
        <v>58</v>
      </c>
      <c r="C24" s="31">
        <v>1</v>
      </c>
      <c r="D24" s="6" t="s">
        <v>45</v>
      </c>
      <c r="E24" s="34">
        <v>23.9</v>
      </c>
      <c r="F24" s="9">
        <f>E24*C24</f>
        <v>23.9</v>
      </c>
      <c r="G24" s="62">
        <v>0</v>
      </c>
      <c r="H24" s="62">
        <v>0</v>
      </c>
      <c r="I24" s="62">
        <v>0</v>
      </c>
      <c r="J24" s="68">
        <f t="shared" si="1"/>
        <v>23.9</v>
      </c>
      <c r="K24" s="69">
        <f t="shared" si="0"/>
        <v>23.9</v>
      </c>
      <c r="L24" s="63"/>
    </row>
    <row r="25" spans="1:16" ht="18" x14ac:dyDescent="0.25">
      <c r="B25" s="4" t="s">
        <v>59</v>
      </c>
      <c r="C25" s="31">
        <v>2</v>
      </c>
      <c r="D25" s="6" t="s">
        <v>45</v>
      </c>
      <c r="E25" s="34">
        <v>17.5</v>
      </c>
      <c r="F25" s="9">
        <f>E25*C25</f>
        <v>35</v>
      </c>
      <c r="G25" s="62">
        <v>0</v>
      </c>
      <c r="H25" s="62">
        <v>0</v>
      </c>
      <c r="I25" s="62">
        <v>0</v>
      </c>
      <c r="J25" s="68">
        <f t="shared" si="1"/>
        <v>35</v>
      </c>
      <c r="K25" s="69">
        <f t="shared" si="0"/>
        <v>35</v>
      </c>
      <c r="L25" s="63"/>
      <c r="M25" s="13"/>
      <c r="N25" s="4"/>
      <c r="O25" s="4"/>
      <c r="P25" s="4"/>
    </row>
    <row r="26" spans="1:16" ht="18" x14ac:dyDescent="0.25">
      <c r="B26" s="4" t="s">
        <v>60</v>
      </c>
      <c r="C26" s="31">
        <v>2</v>
      </c>
      <c r="D26" s="6" t="s">
        <v>45</v>
      </c>
      <c r="E26" s="34">
        <v>18.899999999999999</v>
      </c>
      <c r="F26" s="9">
        <f>E26*C26</f>
        <v>37.799999999999997</v>
      </c>
      <c r="G26" s="62">
        <v>0</v>
      </c>
      <c r="H26" s="62">
        <v>0</v>
      </c>
      <c r="I26" s="62">
        <v>0</v>
      </c>
      <c r="J26" s="68">
        <f t="shared" si="1"/>
        <v>37.799999999999997</v>
      </c>
      <c r="K26" s="69">
        <f t="shared" si="0"/>
        <v>37.799999999999997</v>
      </c>
      <c r="L26" s="63"/>
    </row>
    <row r="27" spans="1:16" ht="18" x14ac:dyDescent="0.25">
      <c r="B27" s="4" t="s">
        <v>61</v>
      </c>
      <c r="C27" s="31">
        <v>1</v>
      </c>
      <c r="D27" s="16" t="s">
        <v>45</v>
      </c>
      <c r="E27" s="34">
        <v>18.3</v>
      </c>
      <c r="F27" s="9">
        <f>E27*C27</f>
        <v>18.3</v>
      </c>
      <c r="G27" s="62">
        <f>E27*C27*0.125</f>
        <v>2.2875000000000001</v>
      </c>
      <c r="H27" s="62">
        <v>0</v>
      </c>
      <c r="I27" s="62">
        <v>0</v>
      </c>
      <c r="J27" s="68">
        <f t="shared" si="1"/>
        <v>20.587500000000002</v>
      </c>
      <c r="K27" s="69">
        <f t="shared" si="0"/>
        <v>20.499519230769231</v>
      </c>
      <c r="L27" s="63"/>
    </row>
    <row r="28" spans="1:16" x14ac:dyDescent="0.25">
      <c r="A28" s="52" t="s">
        <v>62</v>
      </c>
      <c r="B28" s="53"/>
      <c r="C28" s="54"/>
      <c r="D28" s="54"/>
      <c r="E28" s="55"/>
      <c r="F28" s="56"/>
      <c r="G28" s="62"/>
      <c r="H28" s="62"/>
      <c r="I28" s="62"/>
      <c r="J28" s="68">
        <f t="shared" si="1"/>
        <v>0</v>
      </c>
      <c r="K28" s="69">
        <f t="shared" si="0"/>
        <v>0</v>
      </c>
      <c r="L28" s="63"/>
    </row>
    <row r="29" spans="1:16" ht="18" x14ac:dyDescent="0.25">
      <c r="B29" s="4" t="s">
        <v>63</v>
      </c>
      <c r="C29" s="31">
        <v>1</v>
      </c>
      <c r="D29" s="6" t="s">
        <v>45</v>
      </c>
      <c r="E29" s="34">
        <v>16.2</v>
      </c>
      <c r="F29" s="9">
        <v>0</v>
      </c>
      <c r="G29" s="62">
        <f>$E29*$C29</f>
        <v>16.2</v>
      </c>
      <c r="H29" s="62">
        <f>$E29*$C29</f>
        <v>16.2</v>
      </c>
      <c r="I29" s="62">
        <f>$E29*$C29</f>
        <v>16.2</v>
      </c>
      <c r="J29" s="68">
        <f t="shared" si="1"/>
        <v>226.79999999999998</v>
      </c>
      <c r="K29" s="69">
        <f t="shared" si="0"/>
        <v>171.12259145716862</v>
      </c>
      <c r="L29" s="63"/>
    </row>
    <row r="30" spans="1:16" ht="18" x14ac:dyDescent="0.25">
      <c r="B30" s="4" t="s">
        <v>64</v>
      </c>
      <c r="C30" s="17">
        <f>(C33*2000/N11)</f>
        <v>16.222479721900349</v>
      </c>
      <c r="D30" s="6" t="s">
        <v>65</v>
      </c>
      <c r="E30" s="34">
        <v>7.7</v>
      </c>
      <c r="F30" s="9">
        <v>0</v>
      </c>
      <c r="G30" s="62">
        <f>((C33*0.7)*2000/893)*E30</f>
        <v>84.501679731242987</v>
      </c>
      <c r="H30" s="62">
        <f>C30*E30</f>
        <v>124.91309385863269</v>
      </c>
      <c r="I30" s="62">
        <f>C30*E30</f>
        <v>124.91309385863269</v>
      </c>
      <c r="J30" s="68">
        <f>F30+G30+H30+(I30*12)</f>
        <v>1708.371899893468</v>
      </c>
      <c r="K30" s="69">
        <f t="shared" si="0"/>
        <v>1280.6152369586255</v>
      </c>
      <c r="L30" s="63"/>
      <c r="M30" s="64"/>
    </row>
    <row r="31" spans="1:16" ht="18.75" x14ac:dyDescent="0.3">
      <c r="A31" s="75" t="s">
        <v>66</v>
      </c>
      <c r="B31" s="76"/>
      <c r="C31" s="77"/>
      <c r="D31" s="77"/>
      <c r="E31" s="78"/>
      <c r="F31" s="79">
        <f>SUM(F9:F30)</f>
        <v>427.4</v>
      </c>
      <c r="G31" s="80">
        <f>SUM(G9:G30)</f>
        <v>223.22764126970452</v>
      </c>
      <c r="H31" s="80">
        <f>SUM(H9:H30)</f>
        <v>277.4915553970942</v>
      </c>
      <c r="I31" s="80">
        <f>SUM(I9:I30)</f>
        <v>277.4915553970942</v>
      </c>
      <c r="J31" s="81">
        <f>SUM(J9:J30)</f>
        <v>4258.0178614319302</v>
      </c>
      <c r="K31" s="69">
        <f>F31+(G31/(1+$N$6)^1)+(H31/(1+$N$6)^2)+(I31*((1+$N$6)^$N$7-1)/($N$6*(1+$N$6)^$N$7))/(1+$N$6)^2</f>
        <v>3306.400571038032</v>
      </c>
      <c r="L31" s="63"/>
    </row>
    <row r="32" spans="1:16" ht="18.75" x14ac:dyDescent="0.3">
      <c r="A32" s="82" t="s">
        <v>67</v>
      </c>
      <c r="B32" s="83"/>
      <c r="C32" s="84"/>
      <c r="D32" s="84"/>
      <c r="E32" s="83"/>
      <c r="F32" s="84"/>
      <c r="G32" s="94"/>
      <c r="H32" s="94"/>
      <c r="I32" s="94"/>
      <c r="J32" s="70"/>
      <c r="K32" s="85"/>
      <c r="L32" s="63"/>
    </row>
    <row r="33" spans="1:13" x14ac:dyDescent="0.25">
      <c r="A33" s="86" t="s">
        <v>68</v>
      </c>
      <c r="B33" s="87" t="s">
        <v>69</v>
      </c>
      <c r="C33" s="88">
        <v>7</v>
      </c>
      <c r="D33" s="89" t="s">
        <v>70</v>
      </c>
      <c r="E33" s="87"/>
      <c r="F33" s="90">
        <v>0</v>
      </c>
      <c r="G33" s="90">
        <v>5</v>
      </c>
      <c r="H33" s="91">
        <v>7</v>
      </c>
      <c r="I33" s="90">
        <f>$C33</f>
        <v>7</v>
      </c>
      <c r="J33" s="92">
        <f>F33+G33+ H33+(I33*12)</f>
        <v>96</v>
      </c>
      <c r="K33" s="93"/>
      <c r="L33" s="63"/>
    </row>
    <row r="34" spans="1:13" x14ac:dyDescent="0.25">
      <c r="E34" s="18"/>
      <c r="F34" s="20"/>
      <c r="G34" s="21"/>
      <c r="H34" s="21"/>
      <c r="I34" s="73" t="s">
        <v>72</v>
      </c>
      <c r="J34" s="74">
        <f>J31/J33</f>
        <v>44.354352723249271</v>
      </c>
      <c r="K34" s="74">
        <f>K31/J33</f>
        <v>34.441672614979502</v>
      </c>
    </row>
    <row r="35" spans="1:13" x14ac:dyDescent="0.25">
      <c r="E35" s="18"/>
      <c r="F35" s="20"/>
      <c r="G35" s="21"/>
      <c r="H35" s="21"/>
      <c r="I35" s="6"/>
      <c r="J35" s="72"/>
      <c r="M35" s="63"/>
    </row>
    <row r="36" spans="1:13" x14ac:dyDescent="0.25">
      <c r="E36" s="18"/>
      <c r="F36" s="20"/>
      <c r="G36" s="21"/>
      <c r="H36" s="21"/>
      <c r="I36" s="6"/>
    </row>
    <row r="37" spans="1:13" x14ac:dyDescent="0.25">
      <c r="E37" s="18"/>
      <c r="F37" s="12"/>
      <c r="G37" s="8"/>
      <c r="H37" s="8"/>
      <c r="I37" s="6"/>
    </row>
    <row r="38" spans="1:13" x14ac:dyDescent="0.25">
      <c r="E38" s="18"/>
      <c r="F38" s="12"/>
      <c r="G38" s="8"/>
      <c r="H38" s="8"/>
      <c r="I38" s="8"/>
    </row>
    <row r="39" spans="1:13" x14ac:dyDescent="0.25">
      <c r="E39" s="18"/>
      <c r="F39" s="12"/>
      <c r="G39" s="8"/>
      <c r="H39" s="8"/>
      <c r="I39" s="8"/>
    </row>
    <row r="40" spans="1:13" x14ac:dyDescent="0.25">
      <c r="E40" s="24"/>
      <c r="F40" s="41"/>
      <c r="G40" s="8"/>
      <c r="H40" s="8"/>
      <c r="I40" s="8"/>
    </row>
    <row r="41" spans="1:13" x14ac:dyDescent="0.25">
      <c r="E41" s="18"/>
      <c r="F41" s="25"/>
      <c r="G41" s="42"/>
      <c r="H41" s="42"/>
      <c r="I41" s="8"/>
    </row>
    <row r="42" spans="1:13" x14ac:dyDescent="0.25">
      <c r="F42" s="6"/>
      <c r="G42" s="6"/>
      <c r="H42" s="6"/>
      <c r="I42" s="8"/>
    </row>
    <row r="43" spans="1:13" x14ac:dyDescent="0.25">
      <c r="I43" s="6"/>
    </row>
    <row r="44" spans="1:13" x14ac:dyDescent="0.25">
      <c r="F44" s="6"/>
      <c r="G44" s="6"/>
      <c r="H44" s="6"/>
      <c r="I44" s="6"/>
    </row>
    <row r="45" spans="1:13" x14ac:dyDescent="0.25">
      <c r="A45" s="36"/>
      <c r="F45" s="6"/>
      <c r="G45" s="6"/>
      <c r="H45" s="6"/>
      <c r="I45" s="6"/>
    </row>
    <row r="46" spans="1:13" x14ac:dyDescent="0.25">
      <c r="A46" s="36"/>
      <c r="B46" s="4" t="s">
        <v>37</v>
      </c>
      <c r="C46" s="19" t="s">
        <v>37</v>
      </c>
      <c r="F46" s="6"/>
      <c r="G46" s="6"/>
      <c r="H46" s="6"/>
      <c r="I46" s="6"/>
    </row>
    <row r="47" spans="1:13" x14ac:dyDescent="0.25">
      <c r="B47" s="4" t="s">
        <v>37</v>
      </c>
      <c r="C47" s="6" t="s">
        <v>37</v>
      </c>
      <c r="F47" s="6"/>
      <c r="G47" s="6"/>
      <c r="H47" s="6"/>
      <c r="I47" s="6"/>
    </row>
    <row r="48" spans="1:13" x14ac:dyDescent="0.25">
      <c r="A48" s="7"/>
      <c r="B48" s="4" t="s">
        <v>37</v>
      </c>
      <c r="C48" s="22" t="s">
        <v>37</v>
      </c>
      <c r="F48" s="6"/>
      <c r="G48" s="6"/>
      <c r="H48" s="6"/>
      <c r="I48" s="6"/>
    </row>
    <row r="49" spans="1:9" x14ac:dyDescent="0.25">
      <c r="A49" s="7"/>
      <c r="B49" s="4" t="s">
        <v>37</v>
      </c>
      <c r="C49" s="22" t="s">
        <v>37</v>
      </c>
      <c r="F49" s="6"/>
      <c r="G49" s="6"/>
      <c r="H49" s="6"/>
      <c r="I49" s="6"/>
    </row>
    <row r="50" spans="1:9" x14ac:dyDescent="0.25">
      <c r="A50" s="7"/>
      <c r="C50" s="6" t="s">
        <v>37</v>
      </c>
    </row>
  </sheetData>
  <mergeCells count="3">
    <mergeCell ref="M8:N8"/>
    <mergeCell ref="A5:B5"/>
    <mergeCell ref="A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75" zoomScaleNormal="75" workbookViewId="0">
      <selection activeCell="A4" sqref="A4"/>
    </sheetView>
  </sheetViews>
  <sheetFormatPr defaultRowHeight="15.75" x14ac:dyDescent="0.25"/>
  <cols>
    <col min="1" max="1" width="17.140625" style="4" customWidth="1"/>
    <col min="2" max="2" width="36.7109375" style="4" bestFit="1" customWidth="1"/>
    <col min="3" max="3" width="15.140625" style="6" customWidth="1"/>
    <col min="4" max="4" width="17.42578125" style="6" customWidth="1"/>
    <col min="5" max="5" width="15.85546875" style="4" bestFit="1" customWidth="1"/>
    <col min="6" max="6" width="22.140625" style="4" customWidth="1"/>
    <col min="7" max="8" width="9.5703125" style="4" customWidth="1"/>
    <col min="9" max="9" width="11.5703125" style="4" bestFit="1" customWidth="1"/>
    <col min="10" max="10" width="13" style="7" customWidth="1"/>
    <col min="11" max="11" width="14.42578125" style="7" customWidth="1"/>
    <col min="12" max="12" width="9.140625" style="7"/>
    <col min="13" max="13" width="37.28515625" style="7" customWidth="1"/>
    <col min="14" max="14" width="10.85546875" style="7" bestFit="1" customWidth="1"/>
    <col min="15" max="15" width="9.140625" style="7"/>
    <col min="16" max="16" width="129.42578125" style="7" bestFit="1" customWidth="1"/>
    <col min="17" max="16384" width="9.140625" style="7"/>
  </cols>
  <sheetData>
    <row r="1" spans="1:16" ht="15" x14ac:dyDescent="0.25">
      <c r="A1" s="212" t="s">
        <v>108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6" ht="15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6" ht="1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6" ht="16.5" thickBot="1" x14ac:dyDescent="0.3">
      <c r="A4" s="3"/>
      <c r="C4" s="5"/>
      <c r="F4" s="6"/>
      <c r="G4" s="6"/>
      <c r="H4" s="6"/>
      <c r="I4" s="6"/>
    </row>
    <row r="5" spans="1:16" ht="39.75" customHeight="1" thickBot="1" x14ac:dyDescent="0.4">
      <c r="A5" s="210" t="s">
        <v>73</v>
      </c>
      <c r="B5" s="211"/>
      <c r="C5" s="46" t="s">
        <v>3</v>
      </c>
      <c r="D5" s="44" t="s">
        <v>4</v>
      </c>
      <c r="E5" s="44" t="s">
        <v>5</v>
      </c>
      <c r="F5" s="45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74</v>
      </c>
      <c r="M5" s="61" t="s">
        <v>12</v>
      </c>
    </row>
    <row r="6" spans="1:16" x14ac:dyDescent="0.25">
      <c r="E6" s="10"/>
      <c r="F6" s="9"/>
      <c r="G6" s="9"/>
      <c r="H6" s="9"/>
      <c r="I6" s="9"/>
      <c r="J6" s="59"/>
      <c r="K6" s="43"/>
      <c r="M6" s="38" t="s">
        <v>13</v>
      </c>
      <c r="N6" s="39">
        <v>0.04</v>
      </c>
    </row>
    <row r="7" spans="1:16" ht="18.75" x14ac:dyDescent="0.3">
      <c r="A7" s="26" t="s">
        <v>14</v>
      </c>
      <c r="B7" s="27"/>
      <c r="C7" s="28"/>
      <c r="D7" s="28"/>
      <c r="E7" s="29"/>
      <c r="F7" s="30"/>
      <c r="G7" s="30"/>
      <c r="H7" s="30"/>
      <c r="I7" s="30"/>
      <c r="J7" s="59"/>
      <c r="K7" s="43"/>
      <c r="M7" s="38" t="s">
        <v>15</v>
      </c>
      <c r="N7" s="37">
        <v>12</v>
      </c>
    </row>
    <row r="8" spans="1:16" x14ac:dyDescent="0.25">
      <c r="A8" s="52" t="s">
        <v>16</v>
      </c>
      <c r="B8" s="53"/>
      <c r="C8" s="54"/>
      <c r="D8" s="54"/>
      <c r="E8" s="55"/>
      <c r="F8" s="56"/>
      <c r="G8" s="56"/>
      <c r="H8" s="56"/>
      <c r="I8" s="56"/>
      <c r="J8" s="59"/>
      <c r="K8" s="43"/>
      <c r="M8" s="209" t="s">
        <v>17</v>
      </c>
      <c r="N8" s="209"/>
    </row>
    <row r="9" spans="1:16" x14ac:dyDescent="0.25">
      <c r="B9" s="11" t="s">
        <v>75</v>
      </c>
      <c r="C9" s="33">
        <v>7000</v>
      </c>
      <c r="D9" s="6" t="s">
        <v>76</v>
      </c>
      <c r="E9" s="34">
        <v>0.1</v>
      </c>
      <c r="F9" s="12">
        <f>C9*E9</f>
        <v>700</v>
      </c>
      <c r="G9" s="9">
        <v>0</v>
      </c>
      <c r="H9" s="9">
        <v>0</v>
      </c>
      <c r="I9" s="9">
        <v>0</v>
      </c>
      <c r="J9" s="58">
        <f>SUM(F9:I9)</f>
        <v>700</v>
      </c>
      <c r="K9" s="65">
        <f>F9+(G9/(1+$N$6)^1)+(H9/(1+$N$6)^2)+(I9*((1+$N$6)^$N$7-1)/($N$6*(1+$N$6)^$N$7))/(1+$N$6)^2</f>
        <v>700</v>
      </c>
      <c r="M9" s="38" t="s">
        <v>20</v>
      </c>
      <c r="N9" s="37">
        <v>4</v>
      </c>
    </row>
    <row r="10" spans="1:16" x14ac:dyDescent="0.25">
      <c r="A10" s="47" t="s">
        <v>21</v>
      </c>
      <c r="B10" s="48"/>
      <c r="C10" s="49"/>
      <c r="D10" s="49"/>
      <c r="E10" s="50"/>
      <c r="F10" s="51"/>
      <c r="G10" s="51"/>
      <c r="H10" s="51"/>
      <c r="I10" s="51"/>
      <c r="J10" s="59"/>
      <c r="K10" s="65">
        <f t="shared" ref="K10:K31" si="0">F10+(G10/(1+$N$6)^1)+(H10/(1+$N$6)^2)+(I10*((1+$N$6)^$N$7-1)/($N$6*(1+$N$6)^$N$7))/(1+$N$6)^2</f>
        <v>0</v>
      </c>
      <c r="M10" s="38" t="s">
        <v>22</v>
      </c>
      <c r="N10" s="37">
        <v>2</v>
      </c>
    </row>
    <row r="11" spans="1:16" ht="31.5" x14ac:dyDescent="0.25">
      <c r="B11" s="4" t="s">
        <v>23</v>
      </c>
      <c r="C11" s="31">
        <v>7.5</v>
      </c>
      <c r="D11" s="16" t="s">
        <v>24</v>
      </c>
      <c r="E11" s="32">
        <v>0.55500000000000005</v>
      </c>
      <c r="F11" s="9">
        <f>$E11*$C11*0</f>
        <v>0</v>
      </c>
      <c r="G11" s="23">
        <f>$E11*$C11*($C$34-5)</f>
        <v>20.812500000000004</v>
      </c>
      <c r="H11" s="66">
        <f>$E11*$C11*($C$34-2.5)</f>
        <v>31.218750000000004</v>
      </c>
      <c r="I11" s="23">
        <f>$E11*$C11*C34</f>
        <v>41.625000000000007</v>
      </c>
      <c r="J11" s="60">
        <f>F11+G11+H11+(I11*12)</f>
        <v>551.53125000000011</v>
      </c>
      <c r="K11" s="65">
        <f t="shared" si="0"/>
        <v>410.05680961607322</v>
      </c>
      <c r="M11" s="38" t="s">
        <v>25</v>
      </c>
      <c r="N11" s="37">
        <v>1200</v>
      </c>
    </row>
    <row r="12" spans="1:16" ht="33" x14ac:dyDescent="0.35">
      <c r="B12" s="4" t="s">
        <v>26</v>
      </c>
      <c r="C12" s="31">
        <v>1.5</v>
      </c>
      <c r="D12" s="16" t="s">
        <v>24</v>
      </c>
      <c r="E12" s="32">
        <v>0.63</v>
      </c>
      <c r="F12" s="9">
        <v>0</v>
      </c>
      <c r="G12" s="23">
        <f>$E12*$C12*($C$34-5)</f>
        <v>4.7250000000000005</v>
      </c>
      <c r="H12" s="66">
        <f>$E12*$C12*($C$34-2.5)</f>
        <v>7.0875000000000004</v>
      </c>
      <c r="I12" s="23">
        <f>$E12*$C12*C34</f>
        <v>9.4500000000000011</v>
      </c>
      <c r="J12" s="60">
        <f t="shared" ref="J12:J31" si="1">F12+G12+H12+(I12*12)</f>
        <v>125.21250000000001</v>
      </c>
      <c r="K12" s="65">
        <f t="shared" si="0"/>
        <v>93.093978399324712</v>
      </c>
    </row>
    <row r="13" spans="1:16" ht="33" x14ac:dyDescent="0.35">
      <c r="B13" s="4" t="s">
        <v>27</v>
      </c>
      <c r="C13" s="31">
        <v>5.5</v>
      </c>
      <c r="D13" s="16" t="s">
        <v>24</v>
      </c>
      <c r="E13" s="32">
        <v>0.48</v>
      </c>
      <c r="F13" s="9">
        <v>0</v>
      </c>
      <c r="G13" s="23">
        <f>$E13*$C13*($C$34-5)</f>
        <v>13.2</v>
      </c>
      <c r="H13" s="66">
        <f>$E13*$C13*($C$34-2.5)</f>
        <v>19.799999999999997</v>
      </c>
      <c r="I13" s="23">
        <f>$E13*$C13*C34</f>
        <v>26.4</v>
      </c>
      <c r="J13" s="60">
        <f t="shared" si="1"/>
        <v>349.79999999999995</v>
      </c>
      <c r="K13" s="65">
        <f t="shared" si="0"/>
        <v>260.07206663938325</v>
      </c>
      <c r="M13" s="13" t="s">
        <v>28</v>
      </c>
    </row>
    <row r="14" spans="1:16" x14ac:dyDescent="0.25">
      <c r="B14" s="4" t="s">
        <v>77</v>
      </c>
      <c r="C14" s="31" t="s">
        <v>30</v>
      </c>
      <c r="D14" s="16" t="s">
        <v>31</v>
      </c>
      <c r="E14" s="32">
        <v>7</v>
      </c>
      <c r="F14" s="9">
        <v>0</v>
      </c>
      <c r="G14" s="23">
        <v>7</v>
      </c>
      <c r="H14" s="66">
        <v>7</v>
      </c>
      <c r="I14" s="23">
        <v>7</v>
      </c>
      <c r="J14" s="60">
        <f t="shared" si="1"/>
        <v>98</v>
      </c>
      <c r="K14" s="65">
        <f>F14+(G14/(1+$N$6)^1)+(H14/(1+$N$6)^2)+(I14*((1+$N$6)^$N$7-1)/($N$6*(1+$N$6)^$N$7))/(1+$N$6)^2</f>
        <v>73.941860506183986</v>
      </c>
      <c r="M14" s="13"/>
    </row>
    <row r="15" spans="1:16" ht="29.45" customHeight="1" x14ac:dyDescent="0.25">
      <c r="B15" s="4" t="s">
        <v>78</v>
      </c>
      <c r="C15" s="40" t="s">
        <v>33</v>
      </c>
      <c r="D15" s="6" t="s">
        <v>34</v>
      </c>
      <c r="E15" s="32">
        <v>38</v>
      </c>
      <c r="F15" s="9">
        <f>N9*E15</f>
        <v>152</v>
      </c>
      <c r="G15" s="23">
        <f>(E15*N10)*3/13</f>
        <v>17.53846153846154</v>
      </c>
      <c r="H15" s="23">
        <f>(E15*N10)*3/13</f>
        <v>17.53846153846154</v>
      </c>
      <c r="I15" s="23">
        <f>(E15*N10)*3/13</f>
        <v>17.53846153846154</v>
      </c>
      <c r="J15" s="60">
        <f t="shared" si="1"/>
        <v>397.53846153846155</v>
      </c>
      <c r="K15" s="65">
        <f t="shared" si="0"/>
        <v>337.26092522428513</v>
      </c>
      <c r="M15" s="4" t="s">
        <v>79</v>
      </c>
      <c r="N15" s="4"/>
      <c r="O15" s="4"/>
      <c r="P15" s="4"/>
    </row>
    <row r="16" spans="1:16" ht="18" x14ac:dyDescent="0.25">
      <c r="A16" s="13"/>
      <c r="B16" s="13" t="s">
        <v>80</v>
      </c>
      <c r="C16" s="14" t="s">
        <v>37</v>
      </c>
      <c r="D16" s="14" t="s">
        <v>38</v>
      </c>
      <c r="E16" s="35">
        <v>15</v>
      </c>
      <c r="F16" s="15">
        <f>E16/5</f>
        <v>3</v>
      </c>
      <c r="G16" s="15">
        <f>E16/15</f>
        <v>1</v>
      </c>
      <c r="H16" s="15">
        <f>E16/15</f>
        <v>1</v>
      </c>
      <c r="I16" s="15">
        <f>E16/15</f>
        <v>1</v>
      </c>
      <c r="J16" s="60">
        <f>F16+G16+H16+(I16*12)</f>
        <v>17</v>
      </c>
      <c r="K16" s="65">
        <f t="shared" si="0"/>
        <v>13.563122929454854</v>
      </c>
      <c r="M16" s="4" t="s">
        <v>81</v>
      </c>
      <c r="N16" s="4"/>
      <c r="O16" s="4"/>
      <c r="P16" s="4"/>
    </row>
    <row r="17" spans="1:16" ht="18.75" customHeight="1" x14ac:dyDescent="0.25">
      <c r="A17" s="47" t="s">
        <v>41</v>
      </c>
      <c r="B17" s="48"/>
      <c r="C17" s="49"/>
      <c r="D17" s="49"/>
      <c r="E17" s="50"/>
      <c r="F17" s="51"/>
      <c r="G17" s="51"/>
      <c r="H17" s="51"/>
      <c r="I17" s="51"/>
      <c r="J17" s="60"/>
      <c r="K17" s="65"/>
      <c r="M17" s="57" t="s">
        <v>82</v>
      </c>
      <c r="N17" s="4"/>
      <c r="O17" s="4"/>
      <c r="P17" s="4"/>
    </row>
    <row r="18" spans="1:16" ht="19.899999999999999" customHeight="1" x14ac:dyDescent="0.25">
      <c r="B18" s="4" t="s">
        <v>83</v>
      </c>
      <c r="C18" s="6" t="s">
        <v>44</v>
      </c>
      <c r="D18" s="6" t="s">
        <v>45</v>
      </c>
      <c r="E18" s="32">
        <v>6.5</v>
      </c>
      <c r="F18" s="23">
        <f>E18</f>
        <v>6.5</v>
      </c>
      <c r="G18" s="23">
        <v>0</v>
      </c>
      <c r="H18" s="23">
        <v>0</v>
      </c>
      <c r="I18" s="23">
        <v>0</v>
      </c>
      <c r="J18" s="60">
        <f t="shared" si="1"/>
        <v>6.5</v>
      </c>
      <c r="K18" s="65">
        <f t="shared" si="0"/>
        <v>6.5</v>
      </c>
      <c r="M18" s="57" t="s">
        <v>84</v>
      </c>
      <c r="N18" s="4"/>
      <c r="O18" s="4"/>
      <c r="P18" s="4"/>
    </row>
    <row r="19" spans="1:16" ht="18" x14ac:dyDescent="0.25">
      <c r="B19" s="4" t="s">
        <v>85</v>
      </c>
      <c r="C19" s="6" t="s">
        <v>86</v>
      </c>
      <c r="D19" s="6" t="s">
        <v>45</v>
      </c>
      <c r="E19" s="32">
        <v>17.5</v>
      </c>
      <c r="F19" s="23">
        <f>E19</f>
        <v>17.5</v>
      </c>
      <c r="G19" s="23">
        <v>17.5</v>
      </c>
      <c r="H19" s="23">
        <v>0</v>
      </c>
      <c r="I19" s="23">
        <v>0</v>
      </c>
      <c r="J19" s="60">
        <f t="shared" si="1"/>
        <v>35</v>
      </c>
      <c r="K19" s="65">
        <f t="shared" si="0"/>
        <v>34.32692307692308</v>
      </c>
      <c r="M19" s="57" t="s">
        <v>87</v>
      </c>
      <c r="N19" s="4"/>
      <c r="O19" s="4"/>
      <c r="P19" s="4"/>
    </row>
    <row r="20" spans="1:16" ht="18" x14ac:dyDescent="0.25">
      <c r="B20" s="4" t="s">
        <v>88</v>
      </c>
      <c r="C20" s="6" t="s">
        <v>89</v>
      </c>
      <c r="D20" s="6" t="s">
        <v>45</v>
      </c>
      <c r="E20" s="32">
        <v>3</v>
      </c>
      <c r="F20" s="23">
        <f>E20</f>
        <v>3</v>
      </c>
      <c r="G20" s="23">
        <f>F20</f>
        <v>3</v>
      </c>
      <c r="H20" s="23">
        <v>0</v>
      </c>
      <c r="I20" s="23">
        <v>0</v>
      </c>
      <c r="J20" s="60">
        <f t="shared" si="1"/>
        <v>6</v>
      </c>
      <c r="K20" s="65">
        <f t="shared" si="0"/>
        <v>5.884615384615385</v>
      </c>
      <c r="M20" s="57" t="s">
        <v>90</v>
      </c>
      <c r="N20" s="4"/>
      <c r="O20" s="4"/>
      <c r="P20" s="4"/>
    </row>
    <row r="21" spans="1:16" ht="18" x14ac:dyDescent="0.25">
      <c r="B21" s="4" t="s">
        <v>91</v>
      </c>
      <c r="C21" s="31">
        <v>3</v>
      </c>
      <c r="D21" s="6" t="s">
        <v>45</v>
      </c>
      <c r="E21" s="32">
        <v>7</v>
      </c>
      <c r="F21" s="23">
        <f>E21*C21</f>
        <v>21</v>
      </c>
      <c r="G21" s="67">
        <v>14</v>
      </c>
      <c r="H21" s="67">
        <v>0</v>
      </c>
      <c r="I21" s="67">
        <v>0</v>
      </c>
      <c r="J21" s="68">
        <f t="shared" si="1"/>
        <v>35</v>
      </c>
      <c r="K21" s="69">
        <f>F21+(G21/(1+$N$6)^1)+(H21/(1+$N$6)^2)+(I21*((1+$N$6)^$N$7-1)/($N$6*(1+$N$6)^$N$7))/(1+$N$6)^2</f>
        <v>34.46153846153846</v>
      </c>
      <c r="L21" s="63"/>
      <c r="M21" s="57" t="s">
        <v>92</v>
      </c>
      <c r="N21" s="4"/>
      <c r="O21" s="4"/>
      <c r="P21" s="4"/>
    </row>
    <row r="22" spans="1:16" ht="18" x14ac:dyDescent="0.25">
      <c r="A22" s="47" t="s">
        <v>54</v>
      </c>
      <c r="B22" s="53"/>
      <c r="C22" s="54"/>
      <c r="D22" s="54"/>
      <c r="E22" s="55"/>
      <c r="F22" s="56"/>
      <c r="G22" s="62"/>
      <c r="H22" s="62"/>
      <c r="I22" s="62"/>
      <c r="J22" s="68"/>
      <c r="K22" s="69"/>
      <c r="L22" s="63"/>
      <c r="M22" s="57" t="s">
        <v>93</v>
      </c>
      <c r="N22" s="4"/>
      <c r="O22" s="4"/>
      <c r="P22" s="4"/>
    </row>
    <row r="23" spans="1:16" ht="18" x14ac:dyDescent="0.25">
      <c r="B23" s="4" t="s">
        <v>94</v>
      </c>
      <c r="C23" s="31">
        <v>1</v>
      </c>
      <c r="D23" s="6" t="s">
        <v>45</v>
      </c>
      <c r="E23" s="32">
        <v>10</v>
      </c>
      <c r="F23" s="9">
        <f t="shared" ref="F23:F28" si="2">E23*C23</f>
        <v>10</v>
      </c>
      <c r="G23" s="62">
        <v>0</v>
      </c>
      <c r="H23" s="62">
        <v>0</v>
      </c>
      <c r="I23" s="62">
        <v>0</v>
      </c>
      <c r="J23" s="68">
        <f t="shared" si="1"/>
        <v>10</v>
      </c>
      <c r="K23" s="69">
        <f t="shared" si="0"/>
        <v>10</v>
      </c>
      <c r="L23" s="63"/>
      <c r="M23" s="13" t="s">
        <v>95</v>
      </c>
      <c r="N23" s="4"/>
      <c r="O23" s="4"/>
      <c r="P23" s="4"/>
    </row>
    <row r="24" spans="1:16" ht="18" x14ac:dyDescent="0.25">
      <c r="B24" s="4" t="s">
        <v>96</v>
      </c>
      <c r="C24" s="31">
        <v>1</v>
      </c>
      <c r="D24" s="6" t="s">
        <v>45</v>
      </c>
      <c r="E24" s="32">
        <v>18.2</v>
      </c>
      <c r="F24" s="9">
        <f t="shared" si="2"/>
        <v>18.2</v>
      </c>
      <c r="G24" s="62">
        <v>0</v>
      </c>
      <c r="H24" s="62">
        <v>0</v>
      </c>
      <c r="I24" s="62">
        <v>0</v>
      </c>
      <c r="J24" s="68">
        <f t="shared" si="1"/>
        <v>18.2</v>
      </c>
      <c r="K24" s="69">
        <f t="shared" si="0"/>
        <v>18.2</v>
      </c>
      <c r="L24" s="63"/>
      <c r="M24" s="57" t="s">
        <v>97</v>
      </c>
      <c r="N24" s="4"/>
      <c r="O24" s="4"/>
      <c r="P24" s="4"/>
    </row>
    <row r="25" spans="1:16" ht="18" x14ac:dyDescent="0.25">
      <c r="B25" s="4" t="s">
        <v>98</v>
      </c>
      <c r="C25" s="31">
        <v>2</v>
      </c>
      <c r="D25" s="6" t="s">
        <v>45</v>
      </c>
      <c r="E25" s="32">
        <v>13.7</v>
      </c>
      <c r="F25" s="9">
        <f t="shared" si="2"/>
        <v>27.4</v>
      </c>
      <c r="G25" s="62">
        <v>0</v>
      </c>
      <c r="H25" s="62">
        <v>0</v>
      </c>
      <c r="I25" s="62">
        <v>0</v>
      </c>
      <c r="J25" s="68">
        <f t="shared" si="1"/>
        <v>27.4</v>
      </c>
      <c r="K25" s="69">
        <f t="shared" si="0"/>
        <v>27.4</v>
      </c>
      <c r="L25" s="63"/>
      <c r="M25" s="13" t="s">
        <v>99</v>
      </c>
    </row>
    <row r="26" spans="1:16" ht="18" x14ac:dyDescent="0.25">
      <c r="B26" s="4" t="s">
        <v>100</v>
      </c>
      <c r="C26" s="31">
        <v>2</v>
      </c>
      <c r="D26" s="6" t="s">
        <v>45</v>
      </c>
      <c r="E26" s="32">
        <v>14.2</v>
      </c>
      <c r="F26" s="9">
        <f t="shared" si="2"/>
        <v>28.4</v>
      </c>
      <c r="G26" s="62">
        <v>0</v>
      </c>
      <c r="H26" s="62">
        <v>0</v>
      </c>
      <c r="I26" s="62">
        <v>0</v>
      </c>
      <c r="J26" s="68">
        <f t="shared" si="1"/>
        <v>28.4</v>
      </c>
      <c r="K26" s="69">
        <f t="shared" si="0"/>
        <v>28.4</v>
      </c>
      <c r="L26" s="63"/>
    </row>
    <row r="27" spans="1:16" ht="18" x14ac:dyDescent="0.25">
      <c r="B27" s="4" t="s">
        <v>101</v>
      </c>
      <c r="C27" s="31">
        <v>1</v>
      </c>
      <c r="D27" s="16" t="s">
        <v>45</v>
      </c>
      <c r="E27" s="32">
        <v>30</v>
      </c>
      <c r="F27" s="9">
        <f t="shared" si="2"/>
        <v>30</v>
      </c>
      <c r="G27" s="62">
        <f>E27*C27*0.125</f>
        <v>3.75</v>
      </c>
      <c r="H27" s="62">
        <v>0</v>
      </c>
      <c r="I27" s="62">
        <v>0</v>
      </c>
      <c r="J27" s="68">
        <f t="shared" si="1"/>
        <v>33.75</v>
      </c>
      <c r="K27" s="69">
        <f t="shared" si="0"/>
        <v>33.605769230769234</v>
      </c>
      <c r="L27" s="63"/>
    </row>
    <row r="28" spans="1:16" ht="33.75" x14ac:dyDescent="0.25">
      <c r="B28" s="11" t="s">
        <v>102</v>
      </c>
      <c r="C28" s="31">
        <v>0.1</v>
      </c>
      <c r="D28" s="6" t="s">
        <v>45</v>
      </c>
      <c r="E28" s="32">
        <v>10</v>
      </c>
      <c r="F28" s="9">
        <f t="shared" si="2"/>
        <v>1</v>
      </c>
      <c r="G28" s="62">
        <f>E28*C28</f>
        <v>1</v>
      </c>
      <c r="H28" s="62">
        <f>E28*C28</f>
        <v>1</v>
      </c>
      <c r="I28" s="62">
        <f>E28*C28</f>
        <v>1</v>
      </c>
      <c r="J28" s="68">
        <f t="shared" si="1"/>
        <v>15</v>
      </c>
      <c r="K28" s="69">
        <f t="shared" si="0"/>
        <v>11.563122929454853</v>
      </c>
      <c r="L28" s="63"/>
    </row>
    <row r="29" spans="1:16" x14ac:dyDescent="0.25">
      <c r="A29" s="52" t="s">
        <v>62</v>
      </c>
      <c r="B29" s="53"/>
      <c r="C29" s="54"/>
      <c r="D29" s="54"/>
      <c r="E29" s="55"/>
      <c r="F29" s="56"/>
      <c r="G29" s="62"/>
      <c r="H29" s="62"/>
      <c r="I29" s="62"/>
      <c r="J29" s="68">
        <f t="shared" si="1"/>
        <v>0</v>
      </c>
      <c r="K29" s="69">
        <f t="shared" si="0"/>
        <v>0</v>
      </c>
      <c r="L29" s="63"/>
    </row>
    <row r="30" spans="1:16" ht="18" x14ac:dyDescent="0.25">
      <c r="B30" s="4" t="s">
        <v>103</v>
      </c>
      <c r="C30" s="31">
        <v>1</v>
      </c>
      <c r="D30" s="6" t="s">
        <v>45</v>
      </c>
      <c r="E30" s="32">
        <v>13</v>
      </c>
      <c r="F30" s="9">
        <v>0</v>
      </c>
      <c r="G30" s="62">
        <f>$E30*$C30</f>
        <v>13</v>
      </c>
      <c r="H30" s="62">
        <f>$E30*$C30</f>
        <v>13</v>
      </c>
      <c r="I30" s="62">
        <f>$E30*$C30</f>
        <v>13</v>
      </c>
      <c r="J30" s="68">
        <f t="shared" si="1"/>
        <v>182</v>
      </c>
      <c r="K30" s="69">
        <f t="shared" si="0"/>
        <v>137.32059808291311</v>
      </c>
      <c r="L30" s="63"/>
    </row>
    <row r="31" spans="1:16" ht="18" x14ac:dyDescent="0.25">
      <c r="B31" s="4" t="s">
        <v>104</v>
      </c>
      <c r="C31" s="17">
        <f>(C34*2000)/N11</f>
        <v>16.666666666666668</v>
      </c>
      <c r="D31" s="6" t="s">
        <v>65</v>
      </c>
      <c r="E31" s="32">
        <v>7</v>
      </c>
      <c r="F31" s="9">
        <v>0</v>
      </c>
      <c r="G31" s="62">
        <f>$E31*G34*2000/N11</f>
        <v>58.333333333333336</v>
      </c>
      <c r="H31" s="62">
        <f>$E31*H34*2000/N11</f>
        <v>87.5</v>
      </c>
      <c r="I31" s="62">
        <f>$E31*I34*2000/N11</f>
        <v>116.66666666666667</v>
      </c>
      <c r="J31" s="68">
        <f t="shared" si="1"/>
        <v>1545.8333333333333</v>
      </c>
      <c r="K31" s="69">
        <f t="shared" si="0"/>
        <v>1149.308375300305</v>
      </c>
      <c r="L31" s="63"/>
      <c r="M31" s="64"/>
    </row>
    <row r="32" spans="1:16" ht="18.75" x14ac:dyDescent="0.3">
      <c r="A32" s="75" t="s">
        <v>66</v>
      </c>
      <c r="B32" s="76"/>
      <c r="C32" s="77"/>
      <c r="D32" s="77"/>
      <c r="E32" s="78"/>
      <c r="F32" s="79">
        <f>SUM(F9:F31)</f>
        <v>1018</v>
      </c>
      <c r="G32" s="80">
        <f>SUM(G9:G31)</f>
        <v>174.85929487179487</v>
      </c>
      <c r="H32" s="80">
        <f>SUM(H9:H31)</f>
        <v>185.14471153846154</v>
      </c>
      <c r="I32" s="80">
        <f>SUM(I9:I31)</f>
        <v>233.6801282051282</v>
      </c>
      <c r="J32" s="81">
        <f>SUM(J9:J31)</f>
        <v>4182.1655448717947</v>
      </c>
      <c r="K32" s="69">
        <f>F32+(G32/(1+$N$6)^1)+(H32/(1+$N$6)^2)+(I32*((1+$N$6)^$N$7-1)/($N$6*(1+$N$6)^$N$7))/(1+$N$6)^2</f>
        <v>3384.9597057812243</v>
      </c>
      <c r="L32" s="63"/>
    </row>
    <row r="33" spans="1:13" ht="18.75" x14ac:dyDescent="0.3">
      <c r="A33" s="82" t="s">
        <v>67</v>
      </c>
      <c r="B33" s="83"/>
      <c r="C33" s="84"/>
      <c r="D33" s="84"/>
      <c r="E33" s="83"/>
      <c r="F33" s="84"/>
      <c r="G33" s="94"/>
      <c r="H33" s="94"/>
      <c r="I33" s="94"/>
      <c r="J33" s="70"/>
      <c r="K33" s="85"/>
      <c r="L33" s="63"/>
    </row>
    <row r="34" spans="1:13" x14ac:dyDescent="0.25">
      <c r="A34" s="86" t="s">
        <v>68</v>
      </c>
      <c r="B34" s="87" t="s">
        <v>69</v>
      </c>
      <c r="C34" s="88">
        <v>10</v>
      </c>
      <c r="D34" s="89" t="s">
        <v>70</v>
      </c>
      <c r="E34" s="87"/>
      <c r="F34" s="90">
        <v>0</v>
      </c>
      <c r="G34" s="90">
        <v>5</v>
      </c>
      <c r="H34" s="91">
        <v>7.5</v>
      </c>
      <c r="I34" s="90">
        <f>$C34</f>
        <v>10</v>
      </c>
      <c r="J34" s="92">
        <f>F34+G34+ H34+(I34*12)</f>
        <v>132.5</v>
      </c>
      <c r="K34" s="93"/>
      <c r="L34" s="63"/>
    </row>
    <row r="35" spans="1:13" x14ac:dyDescent="0.25">
      <c r="E35" s="18"/>
      <c r="F35" s="20"/>
      <c r="G35" s="21"/>
      <c r="H35" s="21"/>
      <c r="I35" s="73" t="s">
        <v>72</v>
      </c>
      <c r="J35" s="74">
        <f>J32/J34</f>
        <v>31.563513546202223</v>
      </c>
      <c r="K35" s="74">
        <f>K32/J34</f>
        <v>25.546865704009239</v>
      </c>
    </row>
    <row r="36" spans="1:13" x14ac:dyDescent="0.25">
      <c r="E36" s="18"/>
      <c r="F36" s="20"/>
      <c r="G36" s="21"/>
      <c r="H36" s="21"/>
      <c r="I36" s="6"/>
      <c r="M36" s="63"/>
    </row>
    <row r="37" spans="1:13" x14ac:dyDescent="0.25">
      <c r="E37" s="18"/>
      <c r="F37" s="20"/>
      <c r="G37" s="21"/>
      <c r="H37" s="21"/>
      <c r="I37" s="6"/>
    </row>
    <row r="38" spans="1:13" x14ac:dyDescent="0.25">
      <c r="E38" s="18"/>
      <c r="F38" s="12"/>
      <c r="G38" s="8"/>
      <c r="H38" s="8"/>
      <c r="I38" s="6"/>
    </row>
    <row r="39" spans="1:13" x14ac:dyDescent="0.25">
      <c r="E39" s="18"/>
      <c r="F39" s="12"/>
      <c r="G39" s="8"/>
      <c r="H39" s="8"/>
      <c r="I39" s="8"/>
    </row>
    <row r="40" spans="1:13" x14ac:dyDescent="0.25">
      <c r="E40" s="18"/>
      <c r="F40" s="12"/>
      <c r="G40" s="8"/>
      <c r="H40" s="8"/>
      <c r="I40" s="8"/>
    </row>
    <row r="41" spans="1:13" x14ac:dyDescent="0.25">
      <c r="E41" s="24"/>
      <c r="F41" s="41"/>
      <c r="G41" s="8"/>
      <c r="H41" s="8"/>
      <c r="I41" s="8"/>
    </row>
    <row r="42" spans="1:13" x14ac:dyDescent="0.25">
      <c r="E42" s="18"/>
      <c r="F42" s="25"/>
      <c r="G42" s="42"/>
      <c r="H42" s="42"/>
      <c r="I42" s="8"/>
    </row>
    <row r="43" spans="1:13" x14ac:dyDescent="0.25">
      <c r="F43" s="6"/>
      <c r="G43" s="6"/>
      <c r="H43" s="6"/>
      <c r="I43" s="8"/>
    </row>
    <row r="44" spans="1:13" x14ac:dyDescent="0.25">
      <c r="I44" s="6"/>
    </row>
    <row r="45" spans="1:13" x14ac:dyDescent="0.25">
      <c r="F45" s="6"/>
      <c r="G45" s="6"/>
      <c r="H45" s="6"/>
      <c r="I45" s="6"/>
    </row>
    <row r="46" spans="1:13" x14ac:dyDescent="0.25">
      <c r="A46" s="36"/>
      <c r="F46" s="6"/>
      <c r="G46" s="6"/>
      <c r="H46" s="6"/>
      <c r="I46" s="6"/>
    </row>
    <row r="47" spans="1:13" x14ac:dyDescent="0.25">
      <c r="A47" s="36"/>
      <c r="B47" s="4" t="s">
        <v>37</v>
      </c>
      <c r="C47" s="19" t="s">
        <v>37</v>
      </c>
      <c r="F47" s="6"/>
      <c r="G47" s="6"/>
      <c r="H47" s="6"/>
      <c r="I47" s="6"/>
    </row>
    <row r="48" spans="1:13" x14ac:dyDescent="0.25">
      <c r="A48" s="7"/>
      <c r="B48" s="4" t="s">
        <v>37</v>
      </c>
      <c r="C48" s="6" t="s">
        <v>37</v>
      </c>
      <c r="F48" s="6"/>
      <c r="G48" s="6"/>
      <c r="H48" s="6"/>
      <c r="I48" s="6"/>
    </row>
    <row r="49" spans="1:9" x14ac:dyDescent="0.25">
      <c r="A49" s="7"/>
      <c r="B49" s="4" t="s">
        <v>37</v>
      </c>
      <c r="C49" s="22" t="s">
        <v>37</v>
      </c>
      <c r="F49" s="6"/>
      <c r="G49" s="6"/>
      <c r="H49" s="6"/>
      <c r="I49" s="6"/>
    </row>
    <row r="50" spans="1:9" x14ac:dyDescent="0.25">
      <c r="A50" s="7"/>
      <c r="B50" s="4" t="s">
        <v>37</v>
      </c>
      <c r="C50" s="22" t="s">
        <v>37</v>
      </c>
      <c r="F50" s="6"/>
      <c r="G50" s="6"/>
      <c r="H50" s="6"/>
      <c r="I50" s="6"/>
    </row>
    <row r="51" spans="1:9" x14ac:dyDescent="0.25">
      <c r="A51" s="7"/>
      <c r="C51" s="6" t="s">
        <v>37</v>
      </c>
    </row>
  </sheetData>
  <mergeCells count="3">
    <mergeCell ref="A5:B5"/>
    <mergeCell ref="M8:N8"/>
    <mergeCell ref="A1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D51" sqref="D51"/>
    </sheetView>
  </sheetViews>
  <sheetFormatPr defaultRowHeight="15" x14ac:dyDescent="0.25"/>
  <cols>
    <col min="1" max="3" width="18.42578125" style="2" customWidth="1"/>
    <col min="4" max="4" width="14.5703125" style="2" customWidth="1"/>
    <col min="5" max="5" width="10.42578125" style="2" customWidth="1"/>
    <col min="6" max="6" width="19.140625" style="2" customWidth="1"/>
    <col min="7" max="7" width="18.42578125" style="2" customWidth="1"/>
    <col min="8" max="8" width="17.85546875" style="2" customWidth="1"/>
    <col min="9" max="16384" width="9.140625" style="2"/>
  </cols>
  <sheetData>
    <row r="1" spans="1:8" ht="24" thickBot="1" x14ac:dyDescent="0.4">
      <c r="A1" s="1" t="s">
        <v>161</v>
      </c>
    </row>
    <row r="2" spans="1:8" ht="30.75" thickBot="1" x14ac:dyDescent="0.3">
      <c r="A2" s="101" t="s">
        <v>127</v>
      </c>
      <c r="B2" s="102" t="s">
        <v>4</v>
      </c>
      <c r="C2" s="102" t="s">
        <v>128</v>
      </c>
      <c r="D2" s="102" t="s">
        <v>129</v>
      </c>
      <c r="E2" s="103" t="s">
        <v>130</v>
      </c>
      <c r="F2" s="103" t="s">
        <v>158</v>
      </c>
      <c r="G2" s="102" t="s">
        <v>131</v>
      </c>
      <c r="H2" s="103" t="s">
        <v>197</v>
      </c>
    </row>
    <row r="3" spans="1:8" ht="15.75" thickBot="1" x14ac:dyDescent="0.3">
      <c r="A3" s="104" t="s">
        <v>132</v>
      </c>
      <c r="B3" s="105" t="s">
        <v>133</v>
      </c>
      <c r="C3" s="106" t="s">
        <v>133</v>
      </c>
      <c r="D3" s="107">
        <v>0</v>
      </c>
      <c r="E3" s="134">
        <f>'Pellet Production'!C12</f>
        <v>500</v>
      </c>
      <c r="F3" s="108">
        <f>D3*E3</f>
        <v>0</v>
      </c>
      <c r="G3" s="107">
        <f>F3/$E$3</f>
        <v>0</v>
      </c>
      <c r="H3" s="186">
        <f t="shared" ref="H3:H11" si="0">F3/$E$41</f>
        <v>0</v>
      </c>
    </row>
    <row r="4" spans="1:8" x14ac:dyDescent="0.25">
      <c r="A4" s="109"/>
      <c r="B4" s="109"/>
      <c r="C4" s="110"/>
      <c r="D4" s="110"/>
      <c r="E4" s="111" t="s">
        <v>134</v>
      </c>
      <c r="F4" s="113">
        <f>F3</f>
        <v>0</v>
      </c>
      <c r="G4" s="112">
        <f>G3</f>
        <v>0</v>
      </c>
      <c r="H4" s="185">
        <f t="shared" si="0"/>
        <v>0</v>
      </c>
    </row>
    <row r="5" spans="1:8" ht="15.75" thickBot="1" x14ac:dyDescent="0.3">
      <c r="A5" s="114" t="s">
        <v>135</v>
      </c>
      <c r="B5" s="115"/>
      <c r="C5" s="116"/>
      <c r="D5" s="116"/>
      <c r="E5" s="117"/>
      <c r="F5" s="118"/>
      <c r="G5" s="116"/>
      <c r="H5" s="185">
        <f t="shared" si="0"/>
        <v>0</v>
      </c>
    </row>
    <row r="6" spans="1:8" ht="30.75" thickBot="1" x14ac:dyDescent="0.3">
      <c r="A6" s="119" t="s">
        <v>136</v>
      </c>
      <c r="B6" s="120" t="s">
        <v>137</v>
      </c>
      <c r="C6" s="130">
        <f>2000/'Pellet Production'!C21</f>
        <v>1</v>
      </c>
      <c r="D6" s="132">
        <f>('Operating Costs'!C5+'Operating Costs'!C6*(1/'Pelleting Calcs'!C6))*(1/'Pelleting Calcs'!C6)</f>
        <v>2.0499999999999998</v>
      </c>
      <c r="E6" s="135">
        <f>$E$3</f>
        <v>500</v>
      </c>
      <c r="F6" s="124">
        <f>C6*D6*E6</f>
        <v>1025</v>
      </c>
      <c r="G6" s="150">
        <f t="shared" ref="G6:G10" si="1">F6/$E$3</f>
        <v>2.0499999999999998</v>
      </c>
      <c r="H6" s="186">
        <f t="shared" si="0"/>
        <v>2.1705882352941175</v>
      </c>
    </row>
    <row r="7" spans="1:8" ht="15.75" thickBot="1" x14ac:dyDescent="0.3">
      <c r="A7" s="119" t="s">
        <v>138</v>
      </c>
      <c r="B7" s="120" t="s">
        <v>139</v>
      </c>
      <c r="C7" s="130">
        <f>2000*'Pellet Production'!C23/'Pellet Production'!C21</f>
        <v>2</v>
      </c>
      <c r="D7" s="132">
        <f>'Pellet Production'!C18</f>
        <v>3.79</v>
      </c>
      <c r="E7" s="135">
        <f>$E$3</f>
        <v>500</v>
      </c>
      <c r="F7" s="124">
        <f>C7*D7*E7</f>
        <v>3790</v>
      </c>
      <c r="G7" s="150">
        <f t="shared" si="1"/>
        <v>7.58</v>
      </c>
      <c r="H7" s="186">
        <f t="shared" si="0"/>
        <v>8.025882352941176</v>
      </c>
    </row>
    <row r="8" spans="1:8" ht="30.75" thickBot="1" x14ac:dyDescent="0.3">
      <c r="A8" s="119" t="s">
        <v>140</v>
      </c>
      <c r="B8" s="120" t="s">
        <v>133</v>
      </c>
      <c r="C8" s="121" t="s">
        <v>133</v>
      </c>
      <c r="D8" s="121" t="s">
        <v>133</v>
      </c>
      <c r="E8" s="135">
        <f>$E$3</f>
        <v>500</v>
      </c>
      <c r="F8" s="124">
        <f>0.15*F7</f>
        <v>568.5</v>
      </c>
      <c r="G8" s="150">
        <f t="shared" si="1"/>
        <v>1.137</v>
      </c>
      <c r="H8" s="186">
        <f t="shared" si="0"/>
        <v>1.2038823529411764</v>
      </c>
    </row>
    <row r="9" spans="1:8" ht="15.75" thickBot="1" x14ac:dyDescent="0.3">
      <c r="A9" s="119" t="s">
        <v>141</v>
      </c>
      <c r="B9" s="120" t="s">
        <v>137</v>
      </c>
      <c r="C9" s="130">
        <f>C6</f>
        <v>1</v>
      </c>
      <c r="D9" s="132">
        <f>('Operating Costs'!C10+'Operating Costs'!C11*(1/'Pelleting Calcs'!C9))*(1/'Pelleting Calcs'!C9)</f>
        <v>3.5999999999999996</v>
      </c>
      <c r="E9" s="135">
        <f>$E$3</f>
        <v>500</v>
      </c>
      <c r="F9" s="124">
        <f>C9*D9*E9</f>
        <v>1799.9999999999998</v>
      </c>
      <c r="G9" s="150">
        <f t="shared" si="1"/>
        <v>3.5999999999999996</v>
      </c>
      <c r="H9" s="186">
        <f t="shared" si="0"/>
        <v>3.8117647058823523</v>
      </c>
    </row>
    <row r="10" spans="1:8" ht="15.75" thickBot="1" x14ac:dyDescent="0.3">
      <c r="A10" s="104" t="s">
        <v>142</v>
      </c>
      <c r="B10" s="105" t="s">
        <v>137</v>
      </c>
      <c r="C10" s="131">
        <f>C9*'Pellet Production'!C22</f>
        <v>0.5</v>
      </c>
      <c r="D10" s="132">
        <f>'Pellet Production'!$C$14</f>
        <v>10</v>
      </c>
      <c r="E10" s="135">
        <f>$E$3</f>
        <v>500</v>
      </c>
      <c r="F10" s="124">
        <f>C10*D10*E10</f>
        <v>2500</v>
      </c>
      <c r="G10" s="150">
        <f t="shared" si="1"/>
        <v>5</v>
      </c>
      <c r="H10" s="186">
        <f t="shared" si="0"/>
        <v>5.2941176470588234</v>
      </c>
    </row>
    <row r="11" spans="1:8" x14ac:dyDescent="0.25">
      <c r="A11" s="109"/>
      <c r="B11" s="109"/>
      <c r="C11" s="110"/>
      <c r="D11" s="110"/>
      <c r="E11" s="111" t="s">
        <v>134</v>
      </c>
      <c r="F11" s="113">
        <f>SUM(F6:F10)</f>
        <v>9683.5</v>
      </c>
      <c r="G11" s="112">
        <f>SUM(G6:G10)</f>
        <v>19.366999999999997</v>
      </c>
      <c r="H11" s="185">
        <f t="shared" si="0"/>
        <v>20.506235294117648</v>
      </c>
    </row>
    <row r="12" spans="1:8" ht="15.75" thickBot="1" x14ac:dyDescent="0.3">
      <c r="A12" s="114" t="s">
        <v>143</v>
      </c>
      <c r="B12" s="115"/>
      <c r="C12" s="116"/>
      <c r="D12" s="116"/>
      <c r="E12" s="117"/>
      <c r="F12" s="118"/>
      <c r="G12" s="116"/>
      <c r="H12" s="185"/>
    </row>
    <row r="13" spans="1:8" ht="30.75" thickBot="1" x14ac:dyDescent="0.3">
      <c r="A13" s="119" t="s">
        <v>144</v>
      </c>
      <c r="B13" s="120" t="s">
        <v>137</v>
      </c>
      <c r="C13" s="130">
        <f>2000/'Pellet Production'!C25</f>
        <v>1</v>
      </c>
      <c r="D13" s="132">
        <f>('Operating Costs'!C15+'Operating Costs'!C16*(1/'Pelleting Calcs'!C13))*(1/'Pelleting Calcs'!C13)</f>
        <v>0.22</v>
      </c>
      <c r="E13" s="135">
        <f>$E$3</f>
        <v>500</v>
      </c>
      <c r="F13" s="124">
        <f>C13*D13*E13</f>
        <v>110</v>
      </c>
      <c r="G13" s="150">
        <f t="shared" ref="G13:G16" si="2">F13/$E$3</f>
        <v>0.22</v>
      </c>
      <c r="H13" s="186">
        <f>F13/$E$41</f>
        <v>0.23294117647058823</v>
      </c>
    </row>
    <row r="14" spans="1:8" ht="15.75" thickBot="1" x14ac:dyDescent="0.3">
      <c r="A14" s="119" t="s">
        <v>138</v>
      </c>
      <c r="B14" s="120" t="s">
        <v>139</v>
      </c>
      <c r="C14" s="130">
        <f>2000*'Pellet Production'!C27/'Pellet Production'!C25</f>
        <v>0.5</v>
      </c>
      <c r="D14" s="132">
        <f>'Pellet Production'!C18</f>
        <v>3.79</v>
      </c>
      <c r="E14" s="135">
        <f>$E$3</f>
        <v>500</v>
      </c>
      <c r="F14" s="124">
        <f>C14*D14*E14</f>
        <v>947.5</v>
      </c>
      <c r="G14" s="150">
        <f t="shared" si="2"/>
        <v>1.895</v>
      </c>
      <c r="H14" s="186">
        <f>F14/$E$41</f>
        <v>2.006470588235294</v>
      </c>
    </row>
    <row r="15" spans="1:8" ht="15.75" thickBot="1" x14ac:dyDescent="0.3">
      <c r="A15" s="119" t="s">
        <v>145</v>
      </c>
      <c r="B15" s="120" t="s">
        <v>133</v>
      </c>
      <c r="C15" s="121" t="s">
        <v>133</v>
      </c>
      <c r="D15" s="121" t="s">
        <v>133</v>
      </c>
      <c r="E15" s="135">
        <f>$E$3</f>
        <v>500</v>
      </c>
      <c r="F15" s="124">
        <f>0.15*F14</f>
        <v>142.125</v>
      </c>
      <c r="G15" s="150">
        <f t="shared" si="2"/>
        <v>0.28425</v>
      </c>
      <c r="H15" s="186">
        <f>F15/$E$41</f>
        <v>0.3009705882352941</v>
      </c>
    </row>
    <row r="16" spans="1:8" ht="15.75" thickBot="1" x14ac:dyDescent="0.3">
      <c r="A16" s="104" t="s">
        <v>142</v>
      </c>
      <c r="B16" s="105" t="s">
        <v>137</v>
      </c>
      <c r="C16" s="131">
        <f>C13*'Pellet Production'!C26</f>
        <v>0.5</v>
      </c>
      <c r="D16" s="132">
        <f>'Pellet Production'!C14</f>
        <v>10</v>
      </c>
      <c r="E16" s="135">
        <f>$E$3</f>
        <v>500</v>
      </c>
      <c r="F16" s="124">
        <f>C16*D16*E16</f>
        <v>2500</v>
      </c>
      <c r="G16" s="150">
        <f t="shared" si="2"/>
        <v>5</v>
      </c>
      <c r="H16" s="186">
        <f>F16/$E$41</f>
        <v>5.2941176470588234</v>
      </c>
    </row>
    <row r="17" spans="1:8" x14ac:dyDescent="0.25">
      <c r="A17" s="109"/>
      <c r="B17" s="109"/>
      <c r="C17" s="110"/>
      <c r="D17" s="110"/>
      <c r="E17" s="111" t="s">
        <v>134</v>
      </c>
      <c r="F17" s="113">
        <f>SUM(F13:F16)</f>
        <v>3699.625</v>
      </c>
      <c r="G17" s="112">
        <f>SUM(G13:G16)</f>
        <v>7.3992500000000003</v>
      </c>
      <c r="H17" s="185">
        <f>F17/$E$41</f>
        <v>7.8345000000000002</v>
      </c>
    </row>
    <row r="18" spans="1:8" ht="15.75" thickBot="1" x14ac:dyDescent="0.3">
      <c r="A18" s="114" t="s">
        <v>159</v>
      </c>
      <c r="B18" s="115"/>
      <c r="C18" s="116"/>
      <c r="D18" s="116"/>
      <c r="E18" s="117"/>
      <c r="F18" s="118"/>
      <c r="G18" s="116"/>
      <c r="H18" s="185"/>
    </row>
    <row r="19" spans="1:8" ht="30.75" thickBot="1" x14ac:dyDescent="0.3">
      <c r="A19" s="119" t="s">
        <v>160</v>
      </c>
      <c r="B19" s="120" t="s">
        <v>137</v>
      </c>
      <c r="C19" s="130">
        <f>2000/'Pellet Production'!C29</f>
        <v>1</v>
      </c>
      <c r="D19" s="122">
        <v>0.22</v>
      </c>
      <c r="E19" s="135">
        <f>$E$3</f>
        <v>500</v>
      </c>
      <c r="F19" s="124">
        <f>C19*D19*E19</f>
        <v>110</v>
      </c>
      <c r="G19" s="150">
        <f t="shared" ref="G19:G22" si="3">F19/$E$3</f>
        <v>0.22</v>
      </c>
      <c r="H19" s="186">
        <f>F19/$E$41</f>
        <v>0.23294117647058823</v>
      </c>
    </row>
    <row r="20" spans="1:8" ht="15.75" thickBot="1" x14ac:dyDescent="0.3">
      <c r="A20" s="119" t="s">
        <v>138</v>
      </c>
      <c r="B20" s="120" t="s">
        <v>157</v>
      </c>
      <c r="C20" s="130">
        <f>'Pellet Production'!C31*2000/'Pellet Production'!C29</f>
        <v>0</v>
      </c>
      <c r="D20" s="132">
        <f>'Pellet Production'!C17</f>
        <v>0.1</v>
      </c>
      <c r="E20" s="135">
        <f>$E$3</f>
        <v>500</v>
      </c>
      <c r="F20" s="124">
        <f>C20*D20*E20</f>
        <v>0</v>
      </c>
      <c r="G20" s="150">
        <f t="shared" si="3"/>
        <v>0</v>
      </c>
      <c r="H20" s="186">
        <f>F20/$E$41</f>
        <v>0</v>
      </c>
    </row>
    <row r="21" spans="1:8" ht="15.75" thickBot="1" x14ac:dyDescent="0.3">
      <c r="A21" s="119" t="s">
        <v>145</v>
      </c>
      <c r="B21" s="120" t="s">
        <v>133</v>
      </c>
      <c r="C21" s="121" t="s">
        <v>133</v>
      </c>
      <c r="D21" s="121" t="s">
        <v>133</v>
      </c>
      <c r="E21" s="135">
        <f>$E$3</f>
        <v>500</v>
      </c>
      <c r="F21" s="124">
        <f>0.15*F20</f>
        <v>0</v>
      </c>
      <c r="G21" s="150">
        <f t="shared" si="3"/>
        <v>0</v>
      </c>
      <c r="H21" s="186">
        <f>F21/$E$41</f>
        <v>0</v>
      </c>
    </row>
    <row r="22" spans="1:8" ht="15.75" thickBot="1" x14ac:dyDescent="0.3">
      <c r="A22" s="104" t="s">
        <v>142</v>
      </c>
      <c r="B22" s="105" t="s">
        <v>137</v>
      </c>
      <c r="C22" s="131">
        <f>C19*'Pellet Production'!C40</f>
        <v>0.1</v>
      </c>
      <c r="D22" s="132">
        <f>'Pellet Production'!C14</f>
        <v>10</v>
      </c>
      <c r="E22" s="135">
        <f>$E$3</f>
        <v>500</v>
      </c>
      <c r="F22" s="124">
        <f>C22*D22*E22</f>
        <v>500</v>
      </c>
      <c r="G22" s="150">
        <f t="shared" si="3"/>
        <v>1</v>
      </c>
      <c r="H22" s="186">
        <f>F22/$E$41</f>
        <v>1.0588235294117647</v>
      </c>
    </row>
    <row r="23" spans="1:8" x14ac:dyDescent="0.25">
      <c r="A23" s="109"/>
      <c r="B23" s="109"/>
      <c r="C23" s="110"/>
      <c r="D23" s="110"/>
      <c r="E23" s="111" t="s">
        <v>134</v>
      </c>
      <c r="F23" s="113">
        <f>SUM(F19:F22)</f>
        <v>610</v>
      </c>
      <c r="G23" s="112">
        <f>SUM(G19:G22)</f>
        <v>1.22</v>
      </c>
      <c r="H23" s="185">
        <f>F23/$E$41</f>
        <v>1.2917647058823529</v>
      </c>
    </row>
    <row r="24" spans="1:8" x14ac:dyDescent="0.25">
      <c r="A24" s="141"/>
      <c r="B24" s="141"/>
      <c r="C24" s="142"/>
      <c r="D24" s="142"/>
      <c r="E24" s="143"/>
      <c r="F24" s="145"/>
      <c r="G24" s="144"/>
      <c r="H24" s="185"/>
    </row>
    <row r="25" spans="1:8" ht="15.75" thickBot="1" x14ac:dyDescent="0.3">
      <c r="A25" s="114" t="s">
        <v>146</v>
      </c>
      <c r="B25" s="115"/>
      <c r="C25" s="116"/>
      <c r="D25" s="116"/>
      <c r="E25" s="117"/>
      <c r="F25" s="118"/>
      <c r="G25" s="116"/>
      <c r="H25" s="185"/>
    </row>
    <row r="26" spans="1:8" ht="30.75" thickBot="1" x14ac:dyDescent="0.3">
      <c r="A26" s="119" t="s">
        <v>147</v>
      </c>
      <c r="B26" s="120" t="s">
        <v>137</v>
      </c>
      <c r="C26" s="130">
        <f>1/('Pellet Production'!C33/2000)</f>
        <v>5</v>
      </c>
      <c r="D26" s="132">
        <f>('Operating Costs'!C25+'Operating Costs'!C26*(1/'Pelleting Calcs'!C26))*(1/'Pelleting Calcs'!C26)</f>
        <v>0.47599999999999998</v>
      </c>
      <c r="E26" s="187">
        <f>(E3-('Pellet Production'!C13*'Pellet Production'!C12/100))/(1-0.1)</f>
        <v>472.22222222222223</v>
      </c>
      <c r="F26" s="124">
        <f>C26*D26*E26</f>
        <v>1123.8888888888889</v>
      </c>
      <c r="G26" s="150">
        <f t="shared" ref="G26:G32" si="4">F26/$E$3</f>
        <v>2.2477777777777779</v>
      </c>
      <c r="H26" s="186">
        <f t="shared" ref="H26:H33" si="5">F26/$E$41</f>
        <v>2.38</v>
      </c>
    </row>
    <row r="27" spans="1:8" ht="30.75" thickBot="1" x14ac:dyDescent="0.3">
      <c r="A27" s="119" t="s">
        <v>180</v>
      </c>
      <c r="B27" s="120" t="s">
        <v>137</v>
      </c>
      <c r="C27" s="130">
        <f>C26</f>
        <v>5</v>
      </c>
      <c r="D27" s="132">
        <f>('Operating Costs'!C20+'Operating Costs'!C21*(1/'Pelleting Calcs'!C27))*(1/'Pelleting Calcs'!C27)</f>
        <v>1.92</v>
      </c>
      <c r="E27" s="187">
        <f>$E$26</f>
        <v>472.22222222222223</v>
      </c>
      <c r="F27" s="124">
        <f>C27*D27*E27</f>
        <v>4533.333333333333</v>
      </c>
      <c r="G27" s="150">
        <f t="shared" si="4"/>
        <v>9.0666666666666664</v>
      </c>
      <c r="H27" s="186">
        <f t="shared" si="5"/>
        <v>9.6</v>
      </c>
    </row>
    <row r="28" spans="1:8" ht="15.75" thickBot="1" x14ac:dyDescent="0.3">
      <c r="A28" s="119" t="s">
        <v>148</v>
      </c>
      <c r="B28" s="120" t="s">
        <v>137</v>
      </c>
      <c r="C28" s="130">
        <f>C26</f>
        <v>5</v>
      </c>
      <c r="D28" s="122">
        <v>0.4</v>
      </c>
      <c r="E28" s="187">
        <f t="shared" ref="E28:E32" si="6">$E$26</f>
        <v>472.22222222222223</v>
      </c>
      <c r="F28" s="124">
        <f>C28*D28*E28</f>
        <v>944.44444444444446</v>
      </c>
      <c r="G28" s="150">
        <f t="shared" si="4"/>
        <v>1.8888888888888888</v>
      </c>
      <c r="H28" s="186">
        <f t="shared" si="5"/>
        <v>2</v>
      </c>
    </row>
    <row r="29" spans="1:8" ht="15.75" thickBot="1" x14ac:dyDescent="0.3">
      <c r="A29" s="119" t="s">
        <v>138</v>
      </c>
      <c r="B29" s="120" t="s">
        <v>139</v>
      </c>
      <c r="C29" s="130">
        <f>'Pellet Production'!C36/('Pellet Production'!C33/2000)</f>
        <v>2.9999999999999996</v>
      </c>
      <c r="D29" s="132">
        <f>'Pellet Production'!C18</f>
        <v>3.79</v>
      </c>
      <c r="E29" s="187">
        <f t="shared" si="6"/>
        <v>472.22222222222223</v>
      </c>
      <c r="F29" s="124">
        <f>C29*D29*E29</f>
        <v>5369.1666666666661</v>
      </c>
      <c r="G29" s="150">
        <f t="shared" si="4"/>
        <v>10.738333333333332</v>
      </c>
      <c r="H29" s="186">
        <f t="shared" si="5"/>
        <v>11.37</v>
      </c>
    </row>
    <row r="30" spans="1:8" ht="15.75" thickBot="1" x14ac:dyDescent="0.3">
      <c r="A30" s="119"/>
      <c r="B30" s="120" t="s">
        <v>157</v>
      </c>
      <c r="C30" s="130">
        <f>'Pellet Production'!C35/('Pellet Production'!C38/2000)</f>
        <v>0</v>
      </c>
      <c r="D30" s="132">
        <f>'Pellet Production'!C17</f>
        <v>0.1</v>
      </c>
      <c r="E30" s="187">
        <f t="shared" si="6"/>
        <v>472.22222222222223</v>
      </c>
      <c r="F30" s="124">
        <f>C30*D30*E30</f>
        <v>0</v>
      </c>
      <c r="G30" s="150">
        <f t="shared" si="4"/>
        <v>0</v>
      </c>
      <c r="H30" s="186">
        <f t="shared" si="5"/>
        <v>0</v>
      </c>
    </row>
    <row r="31" spans="1:8" ht="15.75" thickBot="1" x14ac:dyDescent="0.3">
      <c r="A31" s="119" t="s">
        <v>145</v>
      </c>
      <c r="B31" s="120" t="s">
        <v>133</v>
      </c>
      <c r="C31" s="121" t="s">
        <v>133</v>
      </c>
      <c r="D31" s="121" t="s">
        <v>133</v>
      </c>
      <c r="E31" s="187">
        <f t="shared" si="6"/>
        <v>472.22222222222223</v>
      </c>
      <c r="F31" s="124">
        <f>0.15*F30</f>
        <v>0</v>
      </c>
      <c r="G31" s="150">
        <f t="shared" si="4"/>
        <v>0</v>
      </c>
      <c r="H31" s="186">
        <f t="shared" si="5"/>
        <v>0</v>
      </c>
    </row>
    <row r="32" spans="1:8" ht="15.75" thickBot="1" x14ac:dyDescent="0.3">
      <c r="A32" s="104" t="s">
        <v>142</v>
      </c>
      <c r="B32" s="105" t="s">
        <v>137</v>
      </c>
      <c r="C32" s="131">
        <f>C26*'Pellet Production'!C34</f>
        <v>5</v>
      </c>
      <c r="D32" s="132">
        <f>'Pellet Production'!C14</f>
        <v>10</v>
      </c>
      <c r="E32" s="187">
        <f t="shared" si="6"/>
        <v>472.22222222222223</v>
      </c>
      <c r="F32" s="124">
        <f>C32*D32*E32</f>
        <v>23611.111111111113</v>
      </c>
      <c r="G32" s="150">
        <f t="shared" si="4"/>
        <v>47.222222222222229</v>
      </c>
      <c r="H32" s="186">
        <f t="shared" si="5"/>
        <v>50.000000000000007</v>
      </c>
    </row>
    <row r="33" spans="1:8" x14ac:dyDescent="0.25">
      <c r="A33" s="109"/>
      <c r="B33" s="109"/>
      <c r="C33" s="110"/>
      <c r="D33" s="110"/>
      <c r="E33" s="111" t="s">
        <v>134</v>
      </c>
      <c r="F33" s="113">
        <f>SUM(F26:F32)</f>
        <v>35581.944444444445</v>
      </c>
      <c r="G33" s="112">
        <f>SUM(G26:G32)</f>
        <v>71.163888888888891</v>
      </c>
      <c r="H33" s="185">
        <f t="shared" si="5"/>
        <v>75.349999999999994</v>
      </c>
    </row>
    <row r="34" spans="1:8" ht="15.75" thickBot="1" x14ac:dyDescent="0.3">
      <c r="A34" s="114" t="s">
        <v>192</v>
      </c>
      <c r="B34" s="125"/>
      <c r="C34" s="126"/>
      <c r="D34" s="126"/>
      <c r="E34" s="117"/>
      <c r="F34" s="118"/>
      <c r="G34" s="126"/>
      <c r="H34" s="185"/>
    </row>
    <row r="35" spans="1:8" ht="15.75" thickBot="1" x14ac:dyDescent="0.3">
      <c r="A35" s="148" t="s">
        <v>194</v>
      </c>
      <c r="B35" s="148" t="s">
        <v>137</v>
      </c>
      <c r="C35" s="151">
        <f>2000/'Pellet Production'!C38</f>
        <v>4</v>
      </c>
      <c r="D35" s="152">
        <v>0</v>
      </c>
      <c r="E35" s="187">
        <f t="shared" ref="E35:E38" si="7">$E$26</f>
        <v>472.22222222222223</v>
      </c>
      <c r="F35" s="124">
        <f>C35*D35*E35</f>
        <v>0</v>
      </c>
      <c r="G35" s="150">
        <f t="shared" ref="G35:G38" si="8">F35/$E$3</f>
        <v>0</v>
      </c>
      <c r="H35" s="186">
        <f>F35/$E$41</f>
        <v>0</v>
      </c>
    </row>
    <row r="36" spans="1:8" ht="15.75" thickBot="1" x14ac:dyDescent="0.3">
      <c r="A36" s="148" t="s">
        <v>138</v>
      </c>
      <c r="B36" s="148" t="s">
        <v>157</v>
      </c>
      <c r="C36" s="151">
        <f>'Pellet Production'!C39*'Pelleting Calcs'!C35</f>
        <v>0</v>
      </c>
      <c r="D36" s="152">
        <f>'Pellet Production'!C9</f>
        <v>0</v>
      </c>
      <c r="E36" s="187">
        <f t="shared" si="7"/>
        <v>472.22222222222223</v>
      </c>
      <c r="F36" s="124">
        <f>C36*D36*E36</f>
        <v>0</v>
      </c>
      <c r="G36" s="150">
        <f t="shared" si="8"/>
        <v>0</v>
      </c>
      <c r="H36" s="186">
        <f>F36/$E$41</f>
        <v>0</v>
      </c>
    </row>
    <row r="37" spans="1:8" ht="15.75" thickBot="1" x14ac:dyDescent="0.3">
      <c r="A37" s="148" t="s">
        <v>145</v>
      </c>
      <c r="B37" s="148" t="s">
        <v>133</v>
      </c>
      <c r="C37" s="149" t="s">
        <v>133</v>
      </c>
      <c r="D37" s="150" t="s">
        <v>133</v>
      </c>
      <c r="E37" s="187">
        <f t="shared" si="7"/>
        <v>472.22222222222223</v>
      </c>
      <c r="F37" s="124">
        <f>0.15*F36</f>
        <v>0</v>
      </c>
      <c r="G37" s="150">
        <f t="shared" si="8"/>
        <v>0</v>
      </c>
      <c r="H37" s="186">
        <f>F37/$E$41</f>
        <v>0</v>
      </c>
    </row>
    <row r="38" spans="1:8" ht="15.75" thickBot="1" x14ac:dyDescent="0.3">
      <c r="A38" s="148" t="s">
        <v>142</v>
      </c>
      <c r="B38" s="148" t="s">
        <v>137</v>
      </c>
      <c r="C38" s="151">
        <f>'Pellet Production'!C40*'Pelleting Calcs'!C35</f>
        <v>0.4</v>
      </c>
      <c r="D38" s="152">
        <f>'Pellet Production'!$C$14</f>
        <v>10</v>
      </c>
      <c r="E38" s="187">
        <f t="shared" si="7"/>
        <v>472.22222222222223</v>
      </c>
      <c r="F38" s="124">
        <f>C38*D38*E38</f>
        <v>1888.8888888888889</v>
      </c>
      <c r="G38" s="150">
        <f t="shared" si="8"/>
        <v>3.7777777777777777</v>
      </c>
      <c r="H38" s="186">
        <f>F38/$E$41</f>
        <v>4</v>
      </c>
    </row>
    <row r="39" spans="1:8" x14ac:dyDescent="0.25">
      <c r="A39" s="109"/>
      <c r="B39" s="109"/>
      <c r="C39" s="110"/>
      <c r="D39" s="110"/>
      <c r="E39" s="111" t="s">
        <v>134</v>
      </c>
      <c r="F39" s="113">
        <f>SUM(F36:F38)</f>
        <v>1888.8888888888889</v>
      </c>
      <c r="G39" s="112">
        <f>SUM(G36:G38)</f>
        <v>3.7777777777777777</v>
      </c>
      <c r="H39" s="185">
        <f>F39/$E$41</f>
        <v>4</v>
      </c>
    </row>
    <row r="40" spans="1:8" ht="15.75" thickBot="1" x14ac:dyDescent="0.3">
      <c r="A40" s="114" t="s">
        <v>193</v>
      </c>
      <c r="B40" s="125"/>
      <c r="C40" s="126"/>
      <c r="D40" s="126"/>
      <c r="E40" s="117"/>
      <c r="F40" s="118"/>
      <c r="G40" s="126"/>
      <c r="H40" s="185"/>
    </row>
    <row r="41" spans="1:8" ht="15.75" thickBot="1" x14ac:dyDescent="0.3">
      <c r="A41" s="148" t="s">
        <v>166</v>
      </c>
      <c r="B41" s="148" t="s">
        <v>137</v>
      </c>
      <c r="C41" s="151">
        <f>2000/'Pellet Production'!C42</f>
        <v>4</v>
      </c>
      <c r="D41" s="152">
        <v>0</v>
      </c>
      <c r="E41" s="187">
        <f t="shared" ref="E41:E45" si="9">$E$26</f>
        <v>472.22222222222223</v>
      </c>
      <c r="F41" s="124">
        <f>C41*D41*E41</f>
        <v>0</v>
      </c>
      <c r="G41" s="150">
        <f t="shared" ref="G41:G45" si="10">F41/$E$3</f>
        <v>0</v>
      </c>
      <c r="H41" s="186">
        <f t="shared" ref="H41:H46" si="11">F41/$E$41</f>
        <v>0</v>
      </c>
    </row>
    <row r="42" spans="1:8" ht="15.75" thickBot="1" x14ac:dyDescent="0.3">
      <c r="A42" s="148" t="s">
        <v>138</v>
      </c>
      <c r="B42" s="148" t="s">
        <v>157</v>
      </c>
      <c r="C42" s="151">
        <f>'Pellet Production'!C44*'Pelleting Calcs'!C41</f>
        <v>0</v>
      </c>
      <c r="D42" s="152">
        <f>'Pellet Production'!C17</f>
        <v>0.1</v>
      </c>
      <c r="E42" s="187">
        <f t="shared" si="9"/>
        <v>472.22222222222223</v>
      </c>
      <c r="F42" s="124">
        <f>C42*D42*E42</f>
        <v>0</v>
      </c>
      <c r="G42" s="150">
        <f t="shared" si="10"/>
        <v>0</v>
      </c>
      <c r="H42" s="186">
        <f t="shared" si="11"/>
        <v>0</v>
      </c>
    </row>
    <row r="43" spans="1:8" ht="15.75" thickBot="1" x14ac:dyDescent="0.3">
      <c r="A43" s="148" t="s">
        <v>145</v>
      </c>
      <c r="B43" s="148" t="s">
        <v>133</v>
      </c>
      <c r="C43" s="149" t="s">
        <v>133</v>
      </c>
      <c r="D43" s="150" t="s">
        <v>133</v>
      </c>
      <c r="E43" s="187">
        <f t="shared" si="9"/>
        <v>472.22222222222223</v>
      </c>
      <c r="F43" s="124">
        <f>0.15*F42</f>
        <v>0</v>
      </c>
      <c r="G43" s="150">
        <f t="shared" si="10"/>
        <v>0</v>
      </c>
      <c r="H43" s="186">
        <f t="shared" si="11"/>
        <v>0</v>
      </c>
    </row>
    <row r="44" spans="1:8" ht="15.75" thickBot="1" x14ac:dyDescent="0.3">
      <c r="A44" s="148" t="s">
        <v>167</v>
      </c>
      <c r="B44" s="148" t="s">
        <v>168</v>
      </c>
      <c r="C44" s="151">
        <f>'Pellet Production'!C46</f>
        <v>5</v>
      </c>
      <c r="D44" s="152">
        <f>'Pellet Production'!C45</f>
        <v>5</v>
      </c>
      <c r="E44" s="187">
        <f t="shared" si="9"/>
        <v>472.22222222222223</v>
      </c>
      <c r="F44" s="124">
        <f>C44*D44*E44</f>
        <v>11805.555555555557</v>
      </c>
      <c r="G44" s="150">
        <f t="shared" si="10"/>
        <v>23.611111111111114</v>
      </c>
      <c r="H44" s="186">
        <f t="shared" si="11"/>
        <v>25.000000000000004</v>
      </c>
    </row>
    <row r="45" spans="1:8" ht="15.75" thickBot="1" x14ac:dyDescent="0.3">
      <c r="A45" s="148" t="s">
        <v>142</v>
      </c>
      <c r="B45" s="148" t="s">
        <v>137</v>
      </c>
      <c r="C45" s="151">
        <f>'Pellet Production'!C43*'Pelleting Calcs'!C41</f>
        <v>1</v>
      </c>
      <c r="D45" s="152">
        <f>'Pellet Production'!$C$14</f>
        <v>10</v>
      </c>
      <c r="E45" s="187">
        <f t="shared" si="9"/>
        <v>472.22222222222223</v>
      </c>
      <c r="F45" s="124">
        <f>C45*D45*E45</f>
        <v>4722.2222222222226</v>
      </c>
      <c r="G45" s="150">
        <f t="shared" si="10"/>
        <v>9.4444444444444446</v>
      </c>
      <c r="H45" s="186">
        <f t="shared" si="11"/>
        <v>10</v>
      </c>
    </row>
    <row r="46" spans="1:8" x14ac:dyDescent="0.25">
      <c r="A46" s="109"/>
      <c r="B46" s="109"/>
      <c r="C46" s="110"/>
      <c r="D46" s="110"/>
      <c r="E46" s="111" t="s">
        <v>134</v>
      </c>
      <c r="F46" s="113">
        <f>SUM(F42:F45)</f>
        <v>16527.777777777781</v>
      </c>
      <c r="G46" s="112">
        <f>SUM(G42:G45)</f>
        <v>33.055555555555557</v>
      </c>
      <c r="H46" s="185">
        <f t="shared" si="11"/>
        <v>35.000000000000007</v>
      </c>
    </row>
    <row r="48" spans="1:8" ht="15.75" thickBot="1" x14ac:dyDescent="0.3">
      <c r="A48" s="172" t="s">
        <v>183</v>
      </c>
    </row>
    <row r="49" spans="1:4" ht="30.75" thickBot="1" x14ac:dyDescent="0.3">
      <c r="A49" s="101" t="s">
        <v>127</v>
      </c>
      <c r="B49" s="102" t="s">
        <v>10</v>
      </c>
      <c r="C49" s="102" t="s">
        <v>198</v>
      </c>
      <c r="D49" s="102" t="s">
        <v>200</v>
      </c>
    </row>
    <row r="50" spans="1:4" ht="15.75" thickBot="1" x14ac:dyDescent="0.3">
      <c r="A50" s="147" t="s">
        <v>162</v>
      </c>
      <c r="B50" s="164">
        <f>C50*E3</f>
        <v>30000</v>
      </c>
      <c r="C50" s="146">
        <f>'Pellet Production'!C11</f>
        <v>60</v>
      </c>
      <c r="D50" s="164">
        <f>C50*E3/E26</f>
        <v>63.529411764705884</v>
      </c>
    </row>
    <row r="51" spans="1:4" ht="30.75" thickBot="1" x14ac:dyDescent="0.3">
      <c r="A51" s="119" t="s">
        <v>149</v>
      </c>
      <c r="B51" s="127">
        <f>F7+F8+F14+F15+F20+F21+F29+F30+F31+F36+F37+F42+F43</f>
        <v>10817.291666666666</v>
      </c>
      <c r="C51" s="127">
        <f>G7+G8+G14+G15+G20+G21+G29+G30+G31+G36+G37+G42+G43</f>
        <v>21.634583333333332</v>
      </c>
      <c r="D51" s="127">
        <f>H7+H8+H14+H15+H20+H21+H29+H30+H31+H36+H37+H42+H43</f>
        <v>22.90720588235294</v>
      </c>
    </row>
    <row r="52" spans="1:4" ht="15.75" thickBot="1" x14ac:dyDescent="0.3">
      <c r="A52" s="119" t="s">
        <v>150</v>
      </c>
      <c r="B52" s="127">
        <f>F6+F9+F13+F19+F26+F27+F28+F35+F41</f>
        <v>9646.6666666666679</v>
      </c>
      <c r="C52" s="127">
        <f>G6+G9+G13+G19+G26+G27+G28+G35+G41</f>
        <v>19.293333333333333</v>
      </c>
      <c r="D52" s="127">
        <f>H6+H9+H13+H19+H26+H27+H28+H35+H41</f>
        <v>20.428235294117648</v>
      </c>
    </row>
    <row r="53" spans="1:4" ht="15.75" thickBot="1" x14ac:dyDescent="0.3">
      <c r="A53" s="119" t="s">
        <v>142</v>
      </c>
      <c r="B53" s="127">
        <f>+F10+F16+F22+F32+F38+F45</f>
        <v>35722.222222222226</v>
      </c>
      <c r="C53" s="127">
        <f>+G10+G16+G22+G32+G38+G45</f>
        <v>71.444444444444457</v>
      </c>
      <c r="D53" s="127">
        <f>+H10+H16+H22+H32+H38+H45</f>
        <v>75.64705882352942</v>
      </c>
    </row>
    <row r="54" spans="1:4" ht="30.75" thickBot="1" x14ac:dyDescent="0.3">
      <c r="A54" s="119" t="s">
        <v>151</v>
      </c>
      <c r="B54" s="127">
        <f>F3+F44</f>
        <v>11805.555555555557</v>
      </c>
      <c r="C54" s="127">
        <f>G3+G44</f>
        <v>23.611111111111114</v>
      </c>
      <c r="D54" s="127">
        <f>H3+H44</f>
        <v>25.000000000000004</v>
      </c>
    </row>
    <row r="55" spans="1:4" x14ac:dyDescent="0.25">
      <c r="A55" s="128" t="s">
        <v>10</v>
      </c>
      <c r="B55" s="129">
        <f>SUM(B50:B54)</f>
        <v>97991.736111111124</v>
      </c>
      <c r="C55" s="129">
        <f>SUM(C50:C54)</f>
        <v>195.98347222222222</v>
      </c>
      <c r="D55" s="129">
        <f>SUM(D50:D54)</f>
        <v>207.5119117647059</v>
      </c>
    </row>
    <row r="56" spans="1:4" x14ac:dyDescent="0.25">
      <c r="A56" s="169"/>
      <c r="B56" s="170"/>
      <c r="C56" s="170"/>
      <c r="D56" s="170"/>
    </row>
    <row r="57" spans="1:4" ht="15.75" thickBot="1" x14ac:dyDescent="0.3">
      <c r="A57" s="171" t="s">
        <v>184</v>
      </c>
    </row>
    <row r="58" spans="1:4" ht="30.75" thickBot="1" x14ac:dyDescent="0.3">
      <c r="A58" s="101" t="s">
        <v>127</v>
      </c>
      <c r="B58" s="102" t="s">
        <v>10</v>
      </c>
      <c r="C58" s="102" t="s">
        <v>199</v>
      </c>
      <c r="D58" s="102" t="s">
        <v>200</v>
      </c>
    </row>
    <row r="59" spans="1:4" ht="15.75" thickBot="1" x14ac:dyDescent="0.3">
      <c r="A59" s="162" t="s">
        <v>181</v>
      </c>
      <c r="B59" s="163">
        <f>B50</f>
        <v>30000</v>
      </c>
      <c r="C59" s="163">
        <f>C50</f>
        <v>60</v>
      </c>
      <c r="D59" s="163">
        <f>D50</f>
        <v>63.529411764705884</v>
      </c>
    </row>
    <row r="60" spans="1:4" ht="15.75" thickBot="1" x14ac:dyDescent="0.3">
      <c r="A60" s="123" t="str">
        <f>A5</f>
        <v>Grinding:</v>
      </c>
      <c r="B60" s="153">
        <f>F11</f>
        <v>9683.5</v>
      </c>
      <c r="C60" s="153">
        <f>G11</f>
        <v>19.366999999999997</v>
      </c>
      <c r="D60" s="153">
        <f>H11</f>
        <v>20.506235294117648</v>
      </c>
    </row>
    <row r="61" spans="1:4" ht="15.75" thickBot="1" x14ac:dyDescent="0.3">
      <c r="A61" s="123" t="str">
        <f>A12</f>
        <v>Hammer Milling:</v>
      </c>
      <c r="B61" s="153">
        <f>F17</f>
        <v>3699.625</v>
      </c>
      <c r="C61" s="153">
        <f>G17</f>
        <v>7.3992500000000003</v>
      </c>
      <c r="D61" s="153">
        <f>H17</f>
        <v>7.8345000000000002</v>
      </c>
    </row>
    <row r="62" spans="1:4" ht="15.75" thickBot="1" x14ac:dyDescent="0.3">
      <c r="A62" s="123" t="str">
        <f>A18</f>
        <v>Drying/Conditioning</v>
      </c>
      <c r="B62" s="153">
        <f>F23</f>
        <v>610</v>
      </c>
      <c r="C62" s="153">
        <f>G23</f>
        <v>1.22</v>
      </c>
      <c r="D62" s="153">
        <f>H23</f>
        <v>1.2917647058823529</v>
      </c>
    </row>
    <row r="63" spans="1:4" ht="15.75" thickBot="1" x14ac:dyDescent="0.3">
      <c r="A63" s="123" t="str">
        <f>A25</f>
        <v>Pellet Making:</v>
      </c>
      <c r="B63" s="153">
        <f>F33</f>
        <v>35581.944444444445</v>
      </c>
      <c r="C63" s="153">
        <f>G33</f>
        <v>71.163888888888891</v>
      </c>
      <c r="D63" s="153">
        <f>H33</f>
        <v>75.349999999999994</v>
      </c>
    </row>
    <row r="64" spans="1:4" ht="15.75" thickBot="1" x14ac:dyDescent="0.3">
      <c r="A64" s="123" t="s">
        <v>195</v>
      </c>
      <c r="B64" s="153">
        <f>F39</f>
        <v>1888.8888888888889</v>
      </c>
      <c r="C64" s="153">
        <f>G39</f>
        <v>3.7777777777777777</v>
      </c>
      <c r="D64" s="153">
        <f>H39</f>
        <v>4</v>
      </c>
    </row>
    <row r="65" spans="1:4" ht="15.75" thickBot="1" x14ac:dyDescent="0.3">
      <c r="A65" s="123" t="str">
        <f>A40</f>
        <v>Bagging:</v>
      </c>
      <c r="B65" s="153">
        <f>F46</f>
        <v>16527.777777777781</v>
      </c>
      <c r="C65" s="153">
        <f>G46</f>
        <v>33.055555555555557</v>
      </c>
      <c r="D65" s="153">
        <f>H46</f>
        <v>35.000000000000007</v>
      </c>
    </row>
    <row r="66" spans="1:4" x14ac:dyDescent="0.25">
      <c r="A66" s="128" t="s">
        <v>10</v>
      </c>
      <c r="B66" s="129">
        <f>SUM(B59:B65)</f>
        <v>97991.736111111109</v>
      </c>
      <c r="C66" s="129">
        <f>SUM(C59:C65)</f>
        <v>195.98347222222219</v>
      </c>
      <c r="D66" s="129">
        <f>SUM(D59:D65)</f>
        <v>207.51191176470587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5" x14ac:dyDescent="0.25"/>
  <sheetData>
    <row r="1" spans="1:14" ht="23.25" x14ac:dyDescent="0.35">
      <c r="A1" s="1" t="s">
        <v>185</v>
      </c>
    </row>
    <row r="4" spans="1:14" x14ac:dyDescent="0.25">
      <c r="B4" s="95" t="s">
        <v>169</v>
      </c>
      <c r="J4" s="95" t="s">
        <v>179</v>
      </c>
    </row>
    <row r="5" spans="1:14" x14ac:dyDescent="0.25">
      <c r="B5" s="155" t="s">
        <v>174</v>
      </c>
      <c r="C5" s="156">
        <v>2.25</v>
      </c>
      <c r="I5" t="s">
        <v>177</v>
      </c>
      <c r="J5" t="str">
        <f>B4</f>
        <v>Tractor to drive bale grinder</v>
      </c>
      <c r="K5" t="str">
        <f>B9</f>
        <v>Bale Grinder</v>
      </c>
      <c r="L5" t="str">
        <f>B14</f>
        <v>Hammer Mill</v>
      </c>
      <c r="M5" t="str">
        <f>B19</f>
        <v>Tractor to drive pelletizer</v>
      </c>
      <c r="N5" t="str">
        <f>B24</f>
        <v>Pelletizer</v>
      </c>
    </row>
    <row r="6" spans="1:14" x14ac:dyDescent="0.25">
      <c r="B6" s="157" t="s">
        <v>175</v>
      </c>
      <c r="C6" s="158">
        <v>-0.2</v>
      </c>
      <c r="I6">
        <v>0</v>
      </c>
      <c r="J6" s="154">
        <f>$C$5+$C$6*I6</f>
        <v>2.25</v>
      </c>
      <c r="K6" s="154">
        <f>$C$10+$C$11*I6</f>
        <v>3.8</v>
      </c>
      <c r="L6" s="154">
        <f t="shared" ref="L6:L16" si="0">$C$15+$C$16*I6</f>
        <v>0.25</v>
      </c>
      <c r="M6" s="154">
        <f t="shared" ref="M6:M16" si="1">$C$20+$C$21*I6</f>
        <v>10</v>
      </c>
      <c r="N6" s="154">
        <f t="shared" ref="N6:N16" si="2">$C$25+$C$26*I6</f>
        <v>2.4</v>
      </c>
    </row>
    <row r="7" spans="1:14" x14ac:dyDescent="0.25">
      <c r="B7" s="159" t="s">
        <v>176</v>
      </c>
      <c r="C7" s="160" t="s">
        <v>105</v>
      </c>
      <c r="I7">
        <v>0.25</v>
      </c>
      <c r="J7" s="154">
        <f t="shared" ref="J7:J16" si="3">$C$5+$C$6*I7</f>
        <v>2.2000000000000002</v>
      </c>
      <c r="K7" s="154">
        <f t="shared" ref="K7:K16" si="4">$C$10+$C$11*I7</f>
        <v>3.75</v>
      </c>
      <c r="L7" s="154">
        <f t="shared" si="0"/>
        <v>0.24249999999999999</v>
      </c>
      <c r="M7" s="154">
        <f t="shared" si="1"/>
        <v>9.5</v>
      </c>
      <c r="N7" s="154">
        <f t="shared" si="2"/>
        <v>2.375</v>
      </c>
    </row>
    <row r="8" spans="1:14" x14ac:dyDescent="0.25">
      <c r="C8" s="154"/>
      <c r="I8" s="2">
        <v>0.5</v>
      </c>
      <c r="J8" s="154">
        <f t="shared" si="3"/>
        <v>2.15</v>
      </c>
      <c r="K8" s="154">
        <f t="shared" si="4"/>
        <v>3.6999999999999997</v>
      </c>
      <c r="L8" s="154">
        <f t="shared" si="0"/>
        <v>0.23499999999999999</v>
      </c>
      <c r="M8" s="154">
        <f t="shared" si="1"/>
        <v>9</v>
      </c>
      <c r="N8" s="154">
        <f t="shared" si="2"/>
        <v>2.35</v>
      </c>
    </row>
    <row r="9" spans="1:14" x14ac:dyDescent="0.25">
      <c r="B9" s="95" t="s">
        <v>170</v>
      </c>
      <c r="C9" s="154"/>
      <c r="I9" s="2">
        <v>0.75</v>
      </c>
      <c r="J9" s="154">
        <f t="shared" si="3"/>
        <v>2.1</v>
      </c>
      <c r="K9" s="154">
        <f t="shared" si="4"/>
        <v>3.65</v>
      </c>
      <c r="L9" s="154">
        <f t="shared" si="0"/>
        <v>0.22750000000000001</v>
      </c>
      <c r="M9" s="154">
        <f t="shared" si="1"/>
        <v>8.5</v>
      </c>
      <c r="N9" s="154">
        <f t="shared" si="2"/>
        <v>2.3249999999999997</v>
      </c>
    </row>
    <row r="10" spans="1:14" x14ac:dyDescent="0.25">
      <c r="B10" s="155" t="s">
        <v>174</v>
      </c>
      <c r="C10" s="156">
        <v>3.8</v>
      </c>
      <c r="I10" s="2">
        <v>1</v>
      </c>
      <c r="J10" s="154">
        <f t="shared" si="3"/>
        <v>2.0499999999999998</v>
      </c>
      <c r="K10" s="154">
        <f t="shared" si="4"/>
        <v>3.5999999999999996</v>
      </c>
      <c r="L10" s="154">
        <f t="shared" si="0"/>
        <v>0.22</v>
      </c>
      <c r="M10" s="154">
        <f t="shared" si="1"/>
        <v>8</v>
      </c>
      <c r="N10" s="154">
        <f t="shared" si="2"/>
        <v>2.2999999999999998</v>
      </c>
    </row>
    <row r="11" spans="1:14" x14ac:dyDescent="0.25">
      <c r="B11" s="157" t="s">
        <v>175</v>
      </c>
      <c r="C11" s="158">
        <v>-0.2</v>
      </c>
      <c r="I11" s="2">
        <v>1.25</v>
      </c>
      <c r="J11" s="154">
        <f t="shared" si="3"/>
        <v>2</v>
      </c>
      <c r="K11" s="154">
        <f t="shared" si="4"/>
        <v>3.55</v>
      </c>
      <c r="L11" s="154">
        <f t="shared" si="0"/>
        <v>0.21249999999999999</v>
      </c>
      <c r="M11" s="154">
        <f t="shared" si="1"/>
        <v>7.5</v>
      </c>
      <c r="N11" s="154">
        <f t="shared" si="2"/>
        <v>2.2749999999999999</v>
      </c>
    </row>
    <row r="12" spans="1:14" x14ac:dyDescent="0.25">
      <c r="B12" s="159" t="s">
        <v>176</v>
      </c>
      <c r="C12" s="160" t="s">
        <v>105</v>
      </c>
      <c r="I12" s="2">
        <v>1.5</v>
      </c>
      <c r="J12" s="154">
        <f t="shared" si="3"/>
        <v>1.95</v>
      </c>
      <c r="K12" s="154">
        <f t="shared" si="4"/>
        <v>3.5</v>
      </c>
      <c r="L12" s="154">
        <f t="shared" si="0"/>
        <v>0.20500000000000002</v>
      </c>
      <c r="M12" s="154">
        <f t="shared" si="1"/>
        <v>7</v>
      </c>
      <c r="N12" s="154">
        <f t="shared" si="2"/>
        <v>2.25</v>
      </c>
    </row>
    <row r="13" spans="1:14" x14ac:dyDescent="0.25">
      <c r="C13" s="154"/>
      <c r="I13" s="2">
        <v>1.75</v>
      </c>
      <c r="J13" s="154">
        <f t="shared" si="3"/>
        <v>1.9</v>
      </c>
      <c r="K13" s="154">
        <f t="shared" si="4"/>
        <v>3.4499999999999997</v>
      </c>
      <c r="L13" s="154">
        <f t="shared" si="0"/>
        <v>0.19750000000000001</v>
      </c>
      <c r="M13" s="154">
        <f t="shared" si="1"/>
        <v>6.5</v>
      </c>
      <c r="N13" s="154">
        <f t="shared" si="2"/>
        <v>2.2250000000000001</v>
      </c>
    </row>
    <row r="14" spans="1:14" x14ac:dyDescent="0.25">
      <c r="B14" s="95" t="s">
        <v>171</v>
      </c>
      <c r="C14" s="154"/>
      <c r="I14" s="2">
        <v>2</v>
      </c>
      <c r="J14" s="154">
        <f t="shared" si="3"/>
        <v>1.85</v>
      </c>
      <c r="K14" s="154">
        <f t="shared" si="4"/>
        <v>3.4</v>
      </c>
      <c r="L14" s="154">
        <f t="shared" si="0"/>
        <v>0.19</v>
      </c>
      <c r="M14" s="154">
        <f t="shared" si="1"/>
        <v>6</v>
      </c>
      <c r="N14" s="154">
        <f t="shared" si="2"/>
        <v>2.1999999999999997</v>
      </c>
    </row>
    <row r="15" spans="1:14" x14ac:dyDescent="0.25">
      <c r="B15" s="155" t="s">
        <v>174</v>
      </c>
      <c r="C15" s="156">
        <v>0.25</v>
      </c>
      <c r="I15" s="2">
        <v>2.25</v>
      </c>
      <c r="J15" s="154">
        <f t="shared" si="3"/>
        <v>1.8</v>
      </c>
      <c r="K15" s="154">
        <f t="shared" si="4"/>
        <v>3.3499999999999996</v>
      </c>
      <c r="L15" s="154">
        <f t="shared" si="0"/>
        <v>0.1825</v>
      </c>
      <c r="M15" s="154">
        <f t="shared" si="1"/>
        <v>5.5</v>
      </c>
      <c r="N15" s="154">
        <f t="shared" si="2"/>
        <v>2.1749999999999998</v>
      </c>
    </row>
    <row r="16" spans="1:14" x14ac:dyDescent="0.25">
      <c r="B16" s="157" t="s">
        <v>175</v>
      </c>
      <c r="C16" s="158">
        <v>-0.03</v>
      </c>
      <c r="I16" s="2">
        <v>2.5</v>
      </c>
      <c r="J16" s="154">
        <f t="shared" si="3"/>
        <v>1.75</v>
      </c>
      <c r="K16" s="154">
        <f t="shared" si="4"/>
        <v>3.3</v>
      </c>
      <c r="L16" s="154">
        <f t="shared" si="0"/>
        <v>0.17499999999999999</v>
      </c>
      <c r="M16" s="154">
        <f t="shared" si="1"/>
        <v>5</v>
      </c>
      <c r="N16" s="154">
        <f t="shared" si="2"/>
        <v>2.15</v>
      </c>
    </row>
    <row r="17" spans="2:14" x14ac:dyDescent="0.25">
      <c r="B17" s="159" t="s">
        <v>176</v>
      </c>
      <c r="C17" s="160" t="s">
        <v>105</v>
      </c>
    </row>
    <row r="18" spans="2:14" x14ac:dyDescent="0.25">
      <c r="C18" s="154"/>
    </row>
    <row r="19" spans="2:14" x14ac:dyDescent="0.25">
      <c r="B19" s="95" t="s">
        <v>172</v>
      </c>
      <c r="C19" s="154"/>
    </row>
    <row r="20" spans="2:14" x14ac:dyDescent="0.25">
      <c r="B20" s="155" t="s">
        <v>174</v>
      </c>
      <c r="C20" s="156">
        <v>10</v>
      </c>
      <c r="J20" s="95" t="s">
        <v>178</v>
      </c>
    </row>
    <row r="21" spans="2:14" x14ac:dyDescent="0.25">
      <c r="B21" s="157" t="s">
        <v>175</v>
      </c>
      <c r="C21" s="158">
        <v>-2</v>
      </c>
      <c r="I21" t="str">
        <f>I5</f>
        <v>tph</v>
      </c>
      <c r="J21" s="2" t="str">
        <f t="shared" ref="J21:N21" si="5">J5</f>
        <v>Tractor to drive bale grinder</v>
      </c>
      <c r="K21" s="2" t="str">
        <f t="shared" si="5"/>
        <v>Bale Grinder</v>
      </c>
      <c r="L21" s="2" t="str">
        <f t="shared" si="5"/>
        <v>Hammer Mill</v>
      </c>
      <c r="M21" s="2" t="str">
        <f t="shared" si="5"/>
        <v>Tractor to drive pelletizer</v>
      </c>
      <c r="N21" s="2" t="str">
        <f t="shared" si="5"/>
        <v>Pelletizer</v>
      </c>
    </row>
    <row r="22" spans="2:14" x14ac:dyDescent="0.25">
      <c r="B22" s="159" t="s">
        <v>176</v>
      </c>
      <c r="C22" s="160" t="s">
        <v>105</v>
      </c>
      <c r="I22" s="2">
        <f t="shared" ref="I22:I32" si="6">I6</f>
        <v>0</v>
      </c>
      <c r="J22" s="154">
        <f>J6*$I22</f>
        <v>0</v>
      </c>
      <c r="K22" s="154">
        <f t="shared" ref="K22:N22" si="7">K6*$I22</f>
        <v>0</v>
      </c>
      <c r="L22" s="154">
        <f t="shared" si="7"/>
        <v>0</v>
      </c>
      <c r="M22" s="154">
        <f t="shared" si="7"/>
        <v>0</v>
      </c>
      <c r="N22" s="154">
        <f t="shared" si="7"/>
        <v>0</v>
      </c>
    </row>
    <row r="23" spans="2:14" x14ac:dyDescent="0.25">
      <c r="C23" s="154"/>
      <c r="I23" s="2">
        <f t="shared" si="6"/>
        <v>0.25</v>
      </c>
      <c r="J23" s="154">
        <f t="shared" ref="J23:N32" si="8">J7*$I23</f>
        <v>0.55000000000000004</v>
      </c>
      <c r="K23" s="154">
        <f t="shared" si="8"/>
        <v>0.9375</v>
      </c>
      <c r="L23" s="154">
        <f t="shared" si="8"/>
        <v>6.0624999999999998E-2</v>
      </c>
      <c r="M23" s="154">
        <f t="shared" si="8"/>
        <v>2.375</v>
      </c>
      <c r="N23" s="154">
        <f t="shared" si="8"/>
        <v>0.59375</v>
      </c>
    </row>
    <row r="24" spans="2:14" x14ac:dyDescent="0.25">
      <c r="B24" s="95" t="s">
        <v>173</v>
      </c>
      <c r="C24" s="154"/>
      <c r="I24" s="2">
        <f t="shared" si="6"/>
        <v>0.5</v>
      </c>
      <c r="J24" s="154">
        <f t="shared" si="8"/>
        <v>1.075</v>
      </c>
      <c r="K24" s="154">
        <f t="shared" si="8"/>
        <v>1.8499999999999999</v>
      </c>
      <c r="L24" s="154">
        <f t="shared" si="8"/>
        <v>0.11749999999999999</v>
      </c>
      <c r="M24" s="154">
        <f t="shared" si="8"/>
        <v>4.5</v>
      </c>
      <c r="N24" s="154">
        <f t="shared" si="8"/>
        <v>1.175</v>
      </c>
    </row>
    <row r="25" spans="2:14" x14ac:dyDescent="0.25">
      <c r="B25" s="155" t="s">
        <v>174</v>
      </c>
      <c r="C25" s="156">
        <v>2.4</v>
      </c>
      <c r="I25" s="2">
        <f t="shared" si="6"/>
        <v>0.75</v>
      </c>
      <c r="J25" s="154">
        <f t="shared" si="8"/>
        <v>1.5750000000000002</v>
      </c>
      <c r="K25" s="154">
        <f t="shared" si="8"/>
        <v>2.7374999999999998</v>
      </c>
      <c r="L25" s="154">
        <f t="shared" si="8"/>
        <v>0.170625</v>
      </c>
      <c r="M25" s="154">
        <f t="shared" si="8"/>
        <v>6.375</v>
      </c>
      <c r="N25" s="154">
        <f t="shared" si="8"/>
        <v>1.7437499999999999</v>
      </c>
    </row>
    <row r="26" spans="2:14" x14ac:dyDescent="0.25">
      <c r="B26" s="157" t="s">
        <v>175</v>
      </c>
      <c r="C26" s="158">
        <v>-0.1</v>
      </c>
      <c r="I26" s="2">
        <f t="shared" si="6"/>
        <v>1</v>
      </c>
      <c r="J26" s="154">
        <f t="shared" si="8"/>
        <v>2.0499999999999998</v>
      </c>
      <c r="K26" s="154">
        <f t="shared" si="8"/>
        <v>3.5999999999999996</v>
      </c>
      <c r="L26" s="154">
        <f t="shared" si="8"/>
        <v>0.22</v>
      </c>
      <c r="M26" s="154">
        <f t="shared" si="8"/>
        <v>8</v>
      </c>
      <c r="N26" s="154">
        <f t="shared" si="8"/>
        <v>2.2999999999999998</v>
      </c>
    </row>
    <row r="27" spans="2:14" x14ac:dyDescent="0.25">
      <c r="B27" s="159" t="s">
        <v>176</v>
      </c>
      <c r="C27" s="161" t="s">
        <v>105</v>
      </c>
      <c r="I27" s="2">
        <f t="shared" si="6"/>
        <v>1.25</v>
      </c>
      <c r="J27" s="154">
        <f t="shared" si="8"/>
        <v>2.5</v>
      </c>
      <c r="K27" s="154">
        <f t="shared" si="8"/>
        <v>4.4375</v>
      </c>
      <c r="L27" s="154">
        <f t="shared" si="8"/>
        <v>0.265625</v>
      </c>
      <c r="M27" s="154">
        <f t="shared" si="8"/>
        <v>9.375</v>
      </c>
      <c r="N27" s="154">
        <f t="shared" si="8"/>
        <v>2.84375</v>
      </c>
    </row>
    <row r="28" spans="2:14" x14ac:dyDescent="0.25">
      <c r="I28" s="2">
        <f t="shared" si="6"/>
        <v>1.5</v>
      </c>
      <c r="J28" s="154">
        <f t="shared" si="8"/>
        <v>2.9249999999999998</v>
      </c>
      <c r="K28" s="154">
        <f t="shared" si="8"/>
        <v>5.25</v>
      </c>
      <c r="L28" s="154">
        <f t="shared" si="8"/>
        <v>0.3075</v>
      </c>
      <c r="M28" s="154">
        <f t="shared" si="8"/>
        <v>10.5</v>
      </c>
      <c r="N28" s="154">
        <f t="shared" si="8"/>
        <v>3.375</v>
      </c>
    </row>
    <row r="29" spans="2:14" x14ac:dyDescent="0.25">
      <c r="I29" s="2">
        <f t="shared" si="6"/>
        <v>1.75</v>
      </c>
      <c r="J29" s="154">
        <f t="shared" si="8"/>
        <v>3.3249999999999997</v>
      </c>
      <c r="K29" s="154">
        <f t="shared" si="8"/>
        <v>6.0374999999999996</v>
      </c>
      <c r="L29" s="154">
        <f t="shared" si="8"/>
        <v>0.34562500000000002</v>
      </c>
      <c r="M29" s="154">
        <f t="shared" si="8"/>
        <v>11.375</v>
      </c>
      <c r="N29" s="154">
        <f t="shared" si="8"/>
        <v>3.8937500000000003</v>
      </c>
    </row>
    <row r="30" spans="2:14" x14ac:dyDescent="0.25">
      <c r="I30" s="2">
        <f t="shared" si="6"/>
        <v>2</v>
      </c>
      <c r="J30" s="154">
        <f t="shared" si="8"/>
        <v>3.7</v>
      </c>
      <c r="K30" s="154">
        <f t="shared" si="8"/>
        <v>6.8</v>
      </c>
      <c r="L30" s="154">
        <f t="shared" si="8"/>
        <v>0.38</v>
      </c>
      <c r="M30" s="154">
        <f t="shared" si="8"/>
        <v>12</v>
      </c>
      <c r="N30" s="154">
        <f t="shared" si="8"/>
        <v>4.3999999999999995</v>
      </c>
    </row>
    <row r="31" spans="2:14" x14ac:dyDescent="0.25">
      <c r="I31" s="2">
        <f t="shared" si="6"/>
        <v>2.25</v>
      </c>
      <c r="J31" s="154">
        <f t="shared" si="8"/>
        <v>4.05</v>
      </c>
      <c r="K31" s="154">
        <f t="shared" si="8"/>
        <v>7.5374999999999996</v>
      </c>
      <c r="L31" s="154">
        <f t="shared" si="8"/>
        <v>0.41062500000000002</v>
      </c>
      <c r="M31" s="154">
        <f t="shared" si="8"/>
        <v>12.375</v>
      </c>
      <c r="N31" s="154">
        <f t="shared" si="8"/>
        <v>4.8937499999999998</v>
      </c>
    </row>
    <row r="32" spans="2:14" x14ac:dyDescent="0.25">
      <c r="I32" s="2">
        <f t="shared" si="6"/>
        <v>2.5</v>
      </c>
      <c r="J32" s="154">
        <f t="shared" si="8"/>
        <v>4.375</v>
      </c>
      <c r="K32" s="154">
        <f t="shared" si="8"/>
        <v>8.25</v>
      </c>
      <c r="L32" s="154">
        <f t="shared" si="8"/>
        <v>0.4375</v>
      </c>
      <c r="M32" s="154">
        <f t="shared" si="8"/>
        <v>12.5</v>
      </c>
      <c r="N32" s="154">
        <f t="shared" si="8"/>
        <v>5.375</v>
      </c>
    </row>
    <row r="33" spans="9:14" x14ac:dyDescent="0.25">
      <c r="I33" s="2"/>
      <c r="J33" s="2"/>
      <c r="K33" s="2"/>
      <c r="L33" s="2"/>
      <c r="M33" s="2"/>
      <c r="N33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Pellet Production</vt:lpstr>
      <vt:lpstr>Growing Switchgrass</vt:lpstr>
      <vt:lpstr>Growing Miscanthus</vt:lpstr>
      <vt:lpstr>Pelleting Calcs</vt:lpstr>
      <vt:lpstr>Operating Costs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Ciolkosz</dc:creator>
  <cp:lastModifiedBy>Jeannie Sikora</cp:lastModifiedBy>
  <cp:lastPrinted>2014-08-28T16:18:24Z</cp:lastPrinted>
  <dcterms:created xsi:type="dcterms:W3CDTF">2014-05-08T17:32:19Z</dcterms:created>
  <dcterms:modified xsi:type="dcterms:W3CDTF">2014-09-29T01:23:56Z</dcterms:modified>
</cp:coreProperties>
</file>