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7.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8.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codeName="ThisWorkbook" defaultThemeVersion="124226"/>
  <mc:AlternateContent xmlns:mc="http://schemas.openxmlformats.org/markup-compatibility/2006">
    <mc:Choice Requires="x15">
      <x15ac:absPath xmlns:x15ac="http://schemas.microsoft.com/office/spreadsheetml/2010/11/ac" url="C:\Users\wlazarus\Documents\A_xls\Digesters\central digester\"/>
    </mc:Choice>
  </mc:AlternateContent>
  <xr:revisionPtr revIDLastSave="0" documentId="13_ncr:1_{A3FAED11-800A-481B-AF91-D6235D95662A}" xr6:coauthVersionLast="47" xr6:coauthVersionMax="47" xr10:uidLastSave="{00000000-0000-0000-0000-000000000000}"/>
  <bookViews>
    <workbookView xWindow="-120" yWindow="-120" windowWidth="29040" windowHeight="15840" xr2:uid="{F985EBD7-A772-4070-B97C-8117786F12FF}"/>
  </bookViews>
  <sheets>
    <sheet name="Welcome" sheetId="16" r:id="rId1"/>
    <sheet name="Background" sheetId="24" r:id="rId2"/>
    <sheet name="Key inputs &amp; Outputs" sheetId="19" r:id="rId3"/>
    <sheet name="Complex Inputs" sheetId="12" state="hidden" r:id="rId4"/>
    <sheet name="Financial Inputs" sheetId="7" r:id="rId5"/>
    <sheet name="Nutrient Inputs" sheetId="27" r:id="rId6"/>
    <sheet name="Nutrient calculations" sheetId="15" r:id="rId7"/>
    <sheet name="Nutrient chart" sheetId="26" r:id="rId8"/>
    <sheet name="Switchgrass_Key_Inputs" sheetId="17" r:id="rId9"/>
    <sheet name="Switchgrass_Budget" sheetId="21" r:id="rId10"/>
    <sheet name="Sensitivity Analysis" sheetId="18" r:id="rId11"/>
    <sheet name="Saved Scenarios" sheetId="9" r:id="rId12"/>
    <sheet name="N_availability" sheetId="25" r:id="rId13"/>
    <sheet name="Condensed Cash Flow" sheetId="10" r:id="rId14"/>
    <sheet name="Detailed Cash Flow" sheetId="11" r:id="rId15"/>
  </sheets>
  <externalReferences>
    <externalReference r:id="rId16"/>
  </externalReferences>
  <definedNames>
    <definedName name="_ftn1" localSheetId="4">'Financial Inputs'!#REF!</definedName>
    <definedName name="_ftnref1" localSheetId="4">'Financial Inputs'!$E$114</definedName>
    <definedName name="alternet">Switchgrass_Key_Inputs!$D$47</definedName>
    <definedName name="cellfirst">#REF!</definedName>
    <definedName name="cfhar10">'[1]Cash flow table, 10 x 10'!$N$57</definedName>
    <definedName name="cfhar6">'[1]Cash flow table, 6 x 6'!#REF!</definedName>
    <definedName name="cfhar6a">'[1]Cash flow table, 6 x 6'!$K$57</definedName>
    <definedName name="cfhar8">'[1]Cash flow table, 8 x 8'!$L$57</definedName>
    <definedName name="corncost">Switchgrass_Key_Inputs!$D$15</definedName>
    <definedName name="corncostf">Switchgrass_Key_Inputs!#REF!</definedName>
    <definedName name="cornpr">Switchgrass_Key_Inputs!$D$14</definedName>
    <definedName name="cornprf">Switchgrass_Key_Inputs!#REF!</definedName>
    <definedName name="cornyld">Switchgrass_Key_Inputs!$D$13</definedName>
    <definedName name="cornyldf">Switchgrass_Key_Inputs!#REF!</definedName>
    <definedName name="crop1">#REF!</definedName>
    <definedName name="cropflag">Switchgrass_Key_Inputs!#REF!</definedName>
    <definedName name="croppick">Switchgrass_Key_Inputs!$D$12</definedName>
    <definedName name="defcols">#REF!</definedName>
    <definedName name="defrow1">#REF!</definedName>
    <definedName name="defrows">#REF!</definedName>
    <definedName name="fallowindex">[1]Workspace!$D$19</definedName>
    <definedName name="fallowyrs">[1]Inputs!$I$23</definedName>
    <definedName name="flag10">[1]Workspace!$B$4</definedName>
    <definedName name="flag6">[1]Workspace!$B$2</definedName>
    <definedName name="flag8">[1]Workspace!$B$3</definedName>
    <definedName name="followupdef">[1]Workspace!$B$25</definedName>
    <definedName name="graph10">OFFSET('[1]Cash flow table, 10 x 10'!$C$67,0,0,1,[1]Inputs!$C$13)</definedName>
    <definedName name="graph10t">OFFSET('[1]Cash flow table, 10 x 10'!$C$60,0,0,1,[1]Inputs!$C$13)</definedName>
    <definedName name="graph6">OFFSET('[1]Cash flow table, 6 x 6'!$C$67,0,0,1,[1]Inputs!$C$11)</definedName>
    <definedName name="graph6t">OFFSET('[1]Cash flow table, 6 x 6'!$C$60,0,0,1,[1]Inputs!$C$11)</definedName>
    <definedName name="graph8">OFFSET('[1]Cash flow table, 8 x 8'!$C$67,0,0,1,[1]Inputs!$C$12)</definedName>
    <definedName name="graph8t">OFFSET('[1]Cash flow table, 8 x 8'!$C$60,0,0,1,[1]Inputs!$C$12)</definedName>
    <definedName name="graphag">OFFSET([1]Agronomic!$J$41,0,0,1,[1]Agronomic!$K$38)</definedName>
    <definedName name="graphagt">OFFSET([1]Agronomic!$J$43,0,0,1,[1]Agronomic!$K$38)</definedName>
    <definedName name="grassbreakeven">Switchgrass_Key_Inputs!$D$48</definedName>
    <definedName name="grassbyreg">Switchgrass_Key_Inputs!$Z$36</definedName>
    <definedName name="grassbyreg2">Switchgrass_Key_Inputs!#REF!</definedName>
    <definedName name="grassnet">#REF!</definedName>
    <definedName name="grassprice">Switchgrass_Key_Inputs!#REF!</definedName>
    <definedName name="h6by6">[1]Harvest!$D$5</definedName>
    <definedName name="i6by6">[1]Inputs!$D$15</definedName>
    <definedName name="input1">Switchgrass_Key_Inputs!$D$12:$D$21</definedName>
    <definedName name="input2">Switchgrass_Key_Inputs!$D$24:$D$29</definedName>
    <definedName name="pctcorn">Switchgrass_Key_Inputs!$D$16</definedName>
    <definedName name="pctcornf">Switchgrass_Key_Inputs!#REF!</definedName>
    <definedName name="price10r">[1]Results!$F$18</definedName>
    <definedName name="price6r">[1]Results!$D$18</definedName>
    <definedName name="price8r">[1]Results!$E$18</definedName>
    <definedName name="regflag">Switchgrass_Key_Inputs!#REF!</definedName>
    <definedName name="region1">Switchgrass_Key_Inputs!#REF!</definedName>
    <definedName name="regpick">Switchgrass_Key_Inputs!#REF!</definedName>
    <definedName name="res10by10">[1]Results!$F$5</definedName>
    <definedName name="res6by6">[1]Results!$D$5</definedName>
    <definedName name="res8by8">[1]Results!$E$5</definedName>
    <definedName name="rotage10sel">[1]Workspace!$D$17</definedName>
    <definedName name="rotage6sel">[1]Workspace!$B$17</definedName>
    <definedName name="rotage8sel">[1]Workspace!$C$17</definedName>
    <definedName name="saveno">OFFSET([1]Workspace!$C$43,0,0,[1]Workspace!$I$42+1,1)</definedName>
    <definedName name="saveselect">[1]Workspace!$C$42</definedName>
    <definedName name="scenno">OFFSET([1]Workspace!$A$43,0,0,[1]Workspace!$I$42+1,1)</definedName>
    <definedName name="scenselect">#REF!</definedName>
    <definedName name="solver_adj" localSheetId="4" hidden="1">'Financial Inputs'!$P$82</definedName>
    <definedName name="solver_adj" localSheetId="2" hidden="1">'Nutrient Inputs'!#REF!</definedName>
    <definedName name="solver_adj" localSheetId="6" hidden="1">'Nutrient calculations'!$N$61</definedName>
    <definedName name="solver_cvg" localSheetId="4" hidden="1">0.0001</definedName>
    <definedName name="solver_cvg" localSheetId="2" hidden="1">0.0001</definedName>
    <definedName name="solver_cvg" localSheetId="6" hidden="1">0.0001</definedName>
    <definedName name="solver_drv" localSheetId="4" hidden="1">1</definedName>
    <definedName name="solver_drv" localSheetId="2" hidden="1">1</definedName>
    <definedName name="solver_drv" localSheetId="6" hidden="1">1</definedName>
    <definedName name="solver_eng" localSheetId="2" hidden="1">1</definedName>
    <definedName name="solver_eng" localSheetId="6" hidden="1">1</definedName>
    <definedName name="solver_est" localSheetId="4" hidden="1">1</definedName>
    <definedName name="solver_est" localSheetId="2" hidden="1">1</definedName>
    <definedName name="solver_est" localSheetId="6" hidden="1">1</definedName>
    <definedName name="solver_itr" localSheetId="4" hidden="1">100</definedName>
    <definedName name="solver_itr" localSheetId="2" hidden="1">2147483647</definedName>
    <definedName name="solver_itr" localSheetId="6" hidden="1">2147483647</definedName>
    <definedName name="solver_lhs1" localSheetId="4" hidden="1">'Financial Inputs'!$P$24</definedName>
    <definedName name="solver_lhs1" localSheetId="2" hidden="1">'Nutrient Inputs'!$D$42</definedName>
    <definedName name="solver_lhs2" localSheetId="4" hidden="1">'Financial Inputs'!$P$27</definedName>
    <definedName name="solver_lhs2" localSheetId="2" hidden="1">'Nutrient Inputs'!#REF!</definedName>
    <definedName name="solver_lin" localSheetId="4" hidden="1">2</definedName>
    <definedName name="solver_mip" localSheetId="2" hidden="1">2147483647</definedName>
    <definedName name="solver_mip" localSheetId="6" hidden="1">2147483647</definedName>
    <definedName name="solver_mni" localSheetId="2" hidden="1">30</definedName>
    <definedName name="solver_mni" localSheetId="6" hidden="1">30</definedName>
    <definedName name="solver_mrt" localSheetId="2" hidden="1">0.075</definedName>
    <definedName name="solver_mrt" localSheetId="6" hidden="1">0.075</definedName>
    <definedName name="solver_msl" localSheetId="2" hidden="1">2</definedName>
    <definedName name="solver_msl" localSheetId="6" hidden="1">2</definedName>
    <definedName name="solver_neg" localSheetId="4" hidden="1">2</definedName>
    <definedName name="solver_neg" localSheetId="2" hidden="1">1</definedName>
    <definedName name="solver_neg" localSheetId="6" hidden="1">1</definedName>
    <definedName name="solver_nod" localSheetId="2" hidden="1">2147483647</definedName>
    <definedName name="solver_nod" localSheetId="6" hidden="1">2147483647</definedName>
    <definedName name="solver_num" localSheetId="4" hidden="1">2</definedName>
    <definedName name="solver_num" localSheetId="2" hidden="1">2</definedName>
    <definedName name="solver_num" localSheetId="6" hidden="1">0</definedName>
    <definedName name="solver_nwt" localSheetId="4" hidden="1">1</definedName>
    <definedName name="solver_nwt" localSheetId="2" hidden="1">1</definedName>
    <definedName name="solver_nwt" localSheetId="6" hidden="1">1</definedName>
    <definedName name="solver_opt" localSheetId="4" hidden="1">'Financial Inputs'!#REF!</definedName>
    <definedName name="solver_opt" localSheetId="2" hidden="1">'Nutrient Inputs'!#REF!</definedName>
    <definedName name="solver_opt" localSheetId="6" hidden="1">'Nutrient calculations'!$AA$68</definedName>
    <definedName name="solver_pre" localSheetId="4" hidden="1">0.000001</definedName>
    <definedName name="solver_pre" localSheetId="2" hidden="1">0.000001</definedName>
    <definedName name="solver_pre" localSheetId="6" hidden="1">0.000001</definedName>
    <definedName name="solver_rbv" localSheetId="2" hidden="1">1</definedName>
    <definedName name="solver_rbv" localSheetId="6" hidden="1">1</definedName>
    <definedName name="solver_rel1" localSheetId="4" hidden="1">3</definedName>
    <definedName name="solver_rel1" localSheetId="2" hidden="1">2</definedName>
    <definedName name="solver_rel2" localSheetId="4" hidden="1">3</definedName>
    <definedName name="solver_rel2" localSheetId="2" hidden="1">2</definedName>
    <definedName name="solver_rhs1" localSheetId="4" hidden="1">'Financial Inputs'!$P$80</definedName>
    <definedName name="solver_rhs1" localSheetId="2" hidden="1">31.78</definedName>
    <definedName name="solver_rhs2" localSheetId="4" hidden="1">'Financial Inputs'!$P$26</definedName>
    <definedName name="solver_rhs2" localSheetId="2" hidden="1">7.6</definedName>
    <definedName name="solver_rlx" localSheetId="2" hidden="1">2</definedName>
    <definedName name="solver_rlx" localSheetId="6" hidden="1">2</definedName>
    <definedName name="solver_rsd" localSheetId="2" hidden="1">0</definedName>
    <definedName name="solver_rsd" localSheetId="6" hidden="1">0</definedName>
    <definedName name="solver_scl" localSheetId="4" hidden="1">2</definedName>
    <definedName name="solver_scl" localSheetId="2" hidden="1">1</definedName>
    <definedName name="solver_scl" localSheetId="6" hidden="1">1</definedName>
    <definedName name="solver_sho" localSheetId="4" hidden="1">2</definedName>
    <definedName name="solver_sho" localSheetId="2" hidden="1">2</definedName>
    <definedName name="solver_sho" localSheetId="6" hidden="1">2</definedName>
    <definedName name="solver_ssz" localSheetId="2" hidden="1">100</definedName>
    <definedName name="solver_ssz" localSheetId="6" hidden="1">100</definedName>
    <definedName name="solver_tim" localSheetId="4" hidden="1">100</definedName>
    <definedName name="solver_tim" localSheetId="2" hidden="1">2147483647</definedName>
    <definedName name="solver_tim" localSheetId="6" hidden="1">2147483647</definedName>
    <definedName name="solver_tol" localSheetId="4" hidden="1">0.05</definedName>
    <definedName name="solver_tol" localSheetId="2" hidden="1">0.01</definedName>
    <definedName name="solver_tol" localSheetId="6" hidden="1">0.01</definedName>
    <definedName name="solver_typ" localSheetId="4" hidden="1">2</definedName>
    <definedName name="solver_typ" localSheetId="2" hidden="1">2</definedName>
    <definedName name="solver_typ" localSheetId="6" hidden="1">1</definedName>
    <definedName name="solver_val" localSheetId="4" hidden="1">0</definedName>
    <definedName name="solver_val" localSheetId="2" hidden="1">0</definedName>
    <definedName name="solver_val" localSheetId="6" hidden="1">0</definedName>
    <definedName name="solver_ver" localSheetId="2" hidden="1">3</definedName>
    <definedName name="solver_ver" localSheetId="6" hidden="1">3</definedName>
    <definedName name="soycost">Switchgrass_Key_Inputs!$D$21</definedName>
    <definedName name="soycostf">Switchgrass_Key_Inputs!#REF!</definedName>
    <definedName name="soypr">Switchgrass_Key_Inputs!$D$20</definedName>
    <definedName name="soyprf">Switchgrass_Key_Inputs!#REF!</definedName>
    <definedName name="soyyld">Switchgrass_Key_Inputs!$D$18</definedName>
    <definedName name="soyyldf">Switchgrass_Key_Inputs!#REF!</definedName>
    <definedName name="stumptype">[1]Workspace!#REF!</definedName>
    <definedName name="t6by6">[1]Transport!$D$4</definedName>
    <definedName name="yr6apvacc">'[1]Cash flow table, 6 x 6'!#REF!</definedName>
    <definedName name="yr6apvaccp">'[1]Cash flow table, 6 x 6'!#REF!</definedName>
    <definedName name="yr6expenda">'[1]Cash flow table, 6 x 6'!#REF!</definedName>
    <definedName name="yr6noa">'[1]Cash flow table, 6 x 6'!#REF!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48" i="15" l="1"/>
  <c r="N47" i="15"/>
  <c r="N45" i="15"/>
  <c r="N44" i="15"/>
  <c r="T48" i="15"/>
  <c r="T47" i="15"/>
  <c r="T45" i="15"/>
  <c r="T44" i="15"/>
  <c r="H35" i="27" l="1"/>
  <c r="G35" i="27"/>
  <c r="F35" i="27"/>
  <c r="H31" i="27"/>
  <c r="G31" i="27"/>
  <c r="F31" i="27"/>
  <c r="F5" i="19"/>
  <c r="P79" i="7" l="1"/>
  <c r="C33" i="17"/>
  <c r="Y125" i="7" s="1"/>
  <c r="P80" i="7"/>
  <c r="P84" i="7"/>
  <c r="P83" i="7"/>
  <c r="P82" i="7"/>
  <c r="P78" i="7"/>
  <c r="P77" i="7"/>
  <c r="P74" i="7"/>
  <c r="B63" i="15"/>
  <c r="C63" i="15"/>
  <c r="P76" i="7"/>
  <c r="H46" i="27"/>
  <c r="AG48" i="15" s="1"/>
  <c r="G46" i="27"/>
  <c r="M11" i="26" s="1"/>
  <c r="E46" i="27"/>
  <c r="F46" i="27" s="1"/>
  <c r="AG46" i="15" s="1"/>
  <c r="D46" i="27"/>
  <c r="E3" i="27"/>
  <c r="N28" i="15" s="1"/>
  <c r="N20" i="15" s="1"/>
  <c r="AJ18" i="11"/>
  <c r="AI18" i="11"/>
  <c r="AH18" i="11"/>
  <c r="AG18" i="11"/>
  <c r="AF18" i="11"/>
  <c r="AE18" i="11"/>
  <c r="AD18" i="11"/>
  <c r="AC18" i="11"/>
  <c r="AB18" i="11"/>
  <c r="AA18" i="11"/>
  <c r="P142" i="7"/>
  <c r="D45" i="9" s="1"/>
  <c r="C51" i="17" s="1"/>
  <c r="D51" i="17" s="1"/>
  <c r="E51" i="17" s="1"/>
  <c r="AJ21" i="11"/>
  <c r="AI21" i="11"/>
  <c r="AH21" i="11"/>
  <c r="AG21" i="11"/>
  <c r="AF21" i="11"/>
  <c r="AE21" i="11"/>
  <c r="AD21" i="11"/>
  <c r="AC21" i="11"/>
  <c r="AB21" i="11"/>
  <c r="AA21" i="11"/>
  <c r="B30" i="15"/>
  <c r="B15" i="15" s="1"/>
  <c r="AJ9" i="11"/>
  <c r="AJ58" i="11" s="1"/>
  <c r="AI9" i="11"/>
  <c r="AI58" i="11" s="1"/>
  <c r="AH9" i="11"/>
  <c r="AG9" i="11"/>
  <c r="AG58" i="11" s="1"/>
  <c r="AF9" i="11"/>
  <c r="AF58" i="11" s="1"/>
  <c r="AE9" i="11"/>
  <c r="AE58" i="11" s="1"/>
  <c r="AD9" i="11"/>
  <c r="AD58" i="11" s="1"/>
  <c r="AC9" i="11"/>
  <c r="AC58" i="11" s="1"/>
  <c r="AB9" i="11"/>
  <c r="AB58" i="11" s="1"/>
  <c r="AA9" i="11"/>
  <c r="AA58" i="11" s="1"/>
  <c r="AJ8" i="11"/>
  <c r="AI8" i="11"/>
  <c r="AH8" i="11"/>
  <c r="AG8" i="11"/>
  <c r="AF8" i="11"/>
  <c r="AE8" i="11"/>
  <c r="AD8" i="11"/>
  <c r="AC8" i="11"/>
  <c r="AB8" i="11"/>
  <c r="AA8" i="11"/>
  <c r="AJ7" i="11"/>
  <c r="AJ56" i="11" s="1"/>
  <c r="AI7" i="11"/>
  <c r="AI56" i="11" s="1"/>
  <c r="AH7" i="11"/>
  <c r="AH56" i="11" s="1"/>
  <c r="AG7" i="11"/>
  <c r="AG56" i="11" s="1"/>
  <c r="AF7" i="11"/>
  <c r="AF56" i="11" s="1"/>
  <c r="AE7" i="11"/>
  <c r="AE56" i="11" s="1"/>
  <c r="AD7" i="11"/>
  <c r="AD56" i="11" s="1"/>
  <c r="AC7" i="11"/>
  <c r="AC56" i="11" s="1"/>
  <c r="AB7" i="11"/>
  <c r="AB56" i="11" s="1"/>
  <c r="AA7" i="11"/>
  <c r="AA56" i="11" s="1"/>
  <c r="I4" i="11"/>
  <c r="J4" i="11"/>
  <c r="K4" i="11"/>
  <c r="L4" i="11"/>
  <c r="M4" i="11"/>
  <c r="N4" i="11"/>
  <c r="O4" i="11"/>
  <c r="P4" i="11"/>
  <c r="Q4" i="11"/>
  <c r="R4" i="11"/>
  <c r="S4" i="11"/>
  <c r="T4" i="11"/>
  <c r="U4" i="11"/>
  <c r="V4" i="11"/>
  <c r="W4" i="11"/>
  <c r="X4" i="11"/>
  <c r="Y4" i="11"/>
  <c r="Z4" i="11"/>
  <c r="AA4" i="11"/>
  <c r="AB4" i="11"/>
  <c r="AC4" i="11"/>
  <c r="AD4" i="11"/>
  <c r="AE4" i="11"/>
  <c r="AF4" i="11"/>
  <c r="AG4" i="11"/>
  <c r="AH4" i="11"/>
  <c r="AI4" i="11"/>
  <c r="AJ4" i="11"/>
  <c r="H14" i="11"/>
  <c r="I14" i="11"/>
  <c r="J14" i="11"/>
  <c r="K14" i="11"/>
  <c r="L14" i="11"/>
  <c r="M14" i="11"/>
  <c r="N14" i="11"/>
  <c r="O14" i="11"/>
  <c r="P14" i="11"/>
  <c r="Q14" i="11"/>
  <c r="R14" i="11"/>
  <c r="S14" i="11"/>
  <c r="T14" i="11"/>
  <c r="U14" i="11"/>
  <c r="V14" i="11"/>
  <c r="W14" i="11"/>
  <c r="X14" i="11"/>
  <c r="Y14" i="11"/>
  <c r="Z14" i="11"/>
  <c r="AA14" i="11"/>
  <c r="AB14" i="11"/>
  <c r="AC14" i="11"/>
  <c r="AD14" i="11"/>
  <c r="AE14" i="11"/>
  <c r="AF14" i="11"/>
  <c r="AG14" i="11"/>
  <c r="AH14" i="11"/>
  <c r="AI14" i="11"/>
  <c r="AJ14" i="11"/>
  <c r="H5" i="11"/>
  <c r="I5" i="11"/>
  <c r="J5" i="11"/>
  <c r="K5" i="11"/>
  <c r="L5" i="11"/>
  <c r="M5" i="11"/>
  <c r="N5" i="11"/>
  <c r="O5" i="11"/>
  <c r="P5" i="11"/>
  <c r="Q5" i="11"/>
  <c r="R5" i="11"/>
  <c r="S5" i="11"/>
  <c r="T5" i="11"/>
  <c r="U5" i="11"/>
  <c r="V5" i="11"/>
  <c r="W5" i="11"/>
  <c r="X5" i="11"/>
  <c r="Y5" i="11"/>
  <c r="Z5" i="11"/>
  <c r="AA5" i="11"/>
  <c r="AB5" i="11"/>
  <c r="AC5" i="11"/>
  <c r="AD5" i="11"/>
  <c r="AE5" i="11"/>
  <c r="AF5" i="11"/>
  <c r="AG5" i="11"/>
  <c r="AH5" i="11"/>
  <c r="AI5" i="11"/>
  <c r="AJ5" i="11"/>
  <c r="H4" i="11"/>
  <c r="AF76" i="15"/>
  <c r="E7" i="27"/>
  <c r="C26" i="27"/>
  <c r="D55" i="17"/>
  <c r="C55" i="17"/>
  <c r="D52" i="17"/>
  <c r="C52" i="17"/>
  <c r="M11" i="27"/>
  <c r="C11" i="27" s="1"/>
  <c r="M10" i="27"/>
  <c r="C19" i="27" s="1"/>
  <c r="M9" i="27"/>
  <c r="D45" i="19"/>
  <c r="I51" i="19" s="1"/>
  <c r="T129" i="7"/>
  <c r="C58" i="27"/>
  <c r="C51" i="27"/>
  <c r="C43" i="27"/>
  <c r="C42" i="27"/>
  <c r="C18" i="27"/>
  <c r="C6" i="27"/>
  <c r="D7" i="19"/>
  <c r="C5" i="27" s="1"/>
  <c r="X126" i="7"/>
  <c r="L22" i="17" s="1"/>
  <c r="AA131" i="7"/>
  <c r="AB131" i="7" s="1"/>
  <c r="AA132" i="7"/>
  <c r="AB132" i="7" s="1"/>
  <c r="AA133" i="7"/>
  <c r="AB133" i="7" s="1"/>
  <c r="G7" i="7"/>
  <c r="G15" i="7" s="1"/>
  <c r="F129" i="7"/>
  <c r="E6" i="27"/>
  <c r="N21" i="15" s="1"/>
  <c r="AT104" i="15" s="1"/>
  <c r="P146" i="7"/>
  <c r="S9" i="11" s="1"/>
  <c r="S58" i="11" s="1"/>
  <c r="AA128" i="7"/>
  <c r="AB128" i="7" s="1"/>
  <c r="AA129" i="7"/>
  <c r="AB129" i="7" s="1"/>
  <c r="AA130" i="7"/>
  <c r="AB130" i="7" s="1"/>
  <c r="AA135" i="7"/>
  <c r="AB135" i="7" s="1"/>
  <c r="C74" i="15"/>
  <c r="J45" i="27"/>
  <c r="R47" i="15"/>
  <c r="R46" i="15"/>
  <c r="R45" i="15"/>
  <c r="B40" i="26"/>
  <c r="E72" i="27"/>
  <c r="AW57" i="15"/>
  <c r="AW58" i="15"/>
  <c r="AW56" i="15"/>
  <c r="I48" i="26"/>
  <c r="I47" i="26"/>
  <c r="I49" i="26"/>
  <c r="B84" i="26"/>
  <c r="W70" i="26"/>
  <c r="I50" i="26"/>
  <c r="R103" i="19"/>
  <c r="R102" i="19"/>
  <c r="Q103" i="19"/>
  <c r="Q102" i="19"/>
  <c r="D92" i="27"/>
  <c r="D91" i="27"/>
  <c r="D90" i="27"/>
  <c r="D89" i="27"/>
  <c r="D88" i="27"/>
  <c r="D87" i="27"/>
  <c r="D86" i="27"/>
  <c r="D85" i="27"/>
  <c r="F136" i="7"/>
  <c r="F130" i="7"/>
  <c r="F134" i="7"/>
  <c r="F135" i="7"/>
  <c r="R99" i="19"/>
  <c r="R98" i="19"/>
  <c r="E27" i="27"/>
  <c r="E58" i="15" s="1"/>
  <c r="O58" i="15" s="1"/>
  <c r="D4" i="17"/>
  <c r="D29" i="19"/>
  <c r="D31" i="19"/>
  <c r="D32" i="19"/>
  <c r="D35" i="19"/>
  <c r="D36" i="19"/>
  <c r="D37" i="19"/>
  <c r="D38" i="19"/>
  <c r="D39" i="19"/>
  <c r="D40" i="19"/>
  <c r="D42" i="19"/>
  <c r="D25" i="19"/>
  <c r="F41" i="27"/>
  <c r="D50" i="27" s="1"/>
  <c r="D22" i="17"/>
  <c r="B19" i="15"/>
  <c r="B44" i="15"/>
  <c r="M9" i="26"/>
  <c r="N6" i="26"/>
  <c r="B47" i="15"/>
  <c r="AW61" i="15"/>
  <c r="B51" i="15"/>
  <c r="C75" i="26" s="1"/>
  <c r="B52" i="15"/>
  <c r="C76" i="26" s="1"/>
  <c r="B50" i="15"/>
  <c r="C74" i="26" s="1"/>
  <c r="B48" i="15"/>
  <c r="X63" i="15"/>
  <c r="V79" i="26" s="1"/>
  <c r="S80" i="26"/>
  <c r="L75" i="26"/>
  <c r="S75" i="26"/>
  <c r="L76" i="26"/>
  <c r="S76" i="26"/>
  <c r="L77" i="26"/>
  <c r="S77" i="26"/>
  <c r="L74" i="26"/>
  <c r="S74" i="26"/>
  <c r="AF20" i="15"/>
  <c r="C41" i="26"/>
  <c r="AG44" i="15"/>
  <c r="H39" i="26"/>
  <c r="N7" i="26"/>
  <c r="G10" i="26"/>
  <c r="M10" i="26"/>
  <c r="B45" i="15"/>
  <c r="F13" i="26" s="1"/>
  <c r="G9" i="26"/>
  <c r="A1" i="26"/>
  <c r="C40" i="15"/>
  <c r="AR41" i="15"/>
  <c r="L9" i="17"/>
  <c r="G58" i="21" s="1"/>
  <c r="D25" i="17"/>
  <c r="K31" i="21" s="1"/>
  <c r="L31" i="21" s="1"/>
  <c r="L39" i="21" s="1"/>
  <c r="D26" i="17"/>
  <c r="O48" i="21" s="1"/>
  <c r="P48" i="21" s="1"/>
  <c r="Q31" i="21"/>
  <c r="R31" i="21" s="1"/>
  <c r="R39" i="21" s="1"/>
  <c r="C5" i="21"/>
  <c r="Q45" i="21" s="1"/>
  <c r="R45" i="21" s="1"/>
  <c r="C4" i="21"/>
  <c r="Q48" i="21"/>
  <c r="R48" i="21" s="1"/>
  <c r="AG47" i="15"/>
  <c r="AF79" i="15"/>
  <c r="E28" i="11"/>
  <c r="F43" i="11"/>
  <c r="F44" i="11"/>
  <c r="B82" i="17"/>
  <c r="B81" i="17"/>
  <c r="AG45" i="15"/>
  <c r="D21" i="9"/>
  <c r="E13" i="17"/>
  <c r="E18" i="17"/>
  <c r="B21" i="17"/>
  <c r="B20" i="17"/>
  <c r="B19" i="17"/>
  <c r="B17" i="17"/>
  <c r="B18" i="17"/>
  <c r="E14" i="17"/>
  <c r="E20" i="17"/>
  <c r="K11" i="17"/>
  <c r="H48" i="21"/>
  <c r="H47" i="21"/>
  <c r="R46" i="21"/>
  <c r="P46" i="21"/>
  <c r="L46" i="21"/>
  <c r="H46" i="21"/>
  <c r="H45" i="21"/>
  <c r="R44" i="21"/>
  <c r="P44" i="21"/>
  <c r="L44" i="21"/>
  <c r="H44" i="21"/>
  <c r="R38" i="21"/>
  <c r="P38" i="21"/>
  <c r="L38" i="21"/>
  <c r="H38" i="21"/>
  <c r="D38" i="21"/>
  <c r="R37" i="21"/>
  <c r="P37" i="21"/>
  <c r="D37" i="21"/>
  <c r="L37" i="21"/>
  <c r="R36" i="21"/>
  <c r="P36" i="21"/>
  <c r="L36" i="21"/>
  <c r="H36" i="21"/>
  <c r="R34" i="21"/>
  <c r="P34" i="21"/>
  <c r="L34" i="21"/>
  <c r="H34" i="21"/>
  <c r="R33" i="21"/>
  <c r="P33" i="21"/>
  <c r="L33" i="21"/>
  <c r="H33" i="21"/>
  <c r="R32" i="21"/>
  <c r="P32" i="21"/>
  <c r="L32" i="21"/>
  <c r="H32" i="21"/>
  <c r="H31" i="21"/>
  <c r="R29" i="21"/>
  <c r="O29" i="21"/>
  <c r="P29" i="21"/>
  <c r="L29" i="21"/>
  <c r="H29" i="21"/>
  <c r="R28" i="21"/>
  <c r="P28" i="21"/>
  <c r="L28" i="21"/>
  <c r="H28" i="21"/>
  <c r="R24" i="21"/>
  <c r="P24" i="21"/>
  <c r="L24" i="21"/>
  <c r="H24" i="21"/>
  <c r="R23" i="21"/>
  <c r="P23" i="21"/>
  <c r="L23" i="21"/>
  <c r="H23" i="21"/>
  <c r="R22" i="21"/>
  <c r="P22" i="21"/>
  <c r="L22" i="21"/>
  <c r="H22" i="21"/>
  <c r="R21" i="21"/>
  <c r="P21" i="21"/>
  <c r="L21" i="21"/>
  <c r="H21" i="21"/>
  <c r="H25" i="21"/>
  <c r="R20" i="21"/>
  <c r="P20" i="21"/>
  <c r="L20" i="21"/>
  <c r="H20" i="21"/>
  <c r="R16" i="21"/>
  <c r="P16" i="21"/>
  <c r="L16" i="21"/>
  <c r="H16" i="21"/>
  <c r="R15" i="21"/>
  <c r="P15" i="21"/>
  <c r="L15" i="21"/>
  <c r="H15" i="21"/>
  <c r="R14" i="21"/>
  <c r="P14" i="21"/>
  <c r="L14" i="21"/>
  <c r="H14" i="21"/>
  <c r="R13" i="21"/>
  <c r="P13" i="21"/>
  <c r="L13" i="21"/>
  <c r="H13" i="21"/>
  <c r="H17" i="21"/>
  <c r="R12" i="21"/>
  <c r="R17" i="21"/>
  <c r="P12" i="21"/>
  <c r="P17" i="21"/>
  <c r="L12" i="21"/>
  <c r="L17" i="21"/>
  <c r="H12" i="21"/>
  <c r="C6" i="21"/>
  <c r="R10" i="21" s="1"/>
  <c r="Q60" i="18"/>
  <c r="P60" i="18"/>
  <c r="O60" i="18"/>
  <c r="Q59" i="18"/>
  <c r="P59" i="18"/>
  <c r="O59" i="18"/>
  <c r="Q58" i="18"/>
  <c r="P58" i="18"/>
  <c r="O58" i="18"/>
  <c r="Q57" i="18"/>
  <c r="P57" i="18"/>
  <c r="O57" i="18"/>
  <c r="Q56" i="18"/>
  <c r="P56" i="18"/>
  <c r="O56" i="18"/>
  <c r="O55" i="18"/>
  <c r="Q54" i="18"/>
  <c r="P54" i="18"/>
  <c r="O54" i="18"/>
  <c r="O53" i="18"/>
  <c r="P51" i="18"/>
  <c r="O51" i="18"/>
  <c r="P50" i="18"/>
  <c r="O50" i="18"/>
  <c r="P49" i="18"/>
  <c r="O49" i="18"/>
  <c r="P48" i="18"/>
  <c r="O48" i="18"/>
  <c r="O47" i="18"/>
  <c r="Q45" i="18"/>
  <c r="O45" i="18"/>
  <c r="Q44" i="18"/>
  <c r="O44" i="18"/>
  <c r="Q43" i="18"/>
  <c r="P43" i="18"/>
  <c r="O43" i="18"/>
  <c r="Q42" i="18"/>
  <c r="O42" i="18"/>
  <c r="Q41" i="18"/>
  <c r="O41" i="18"/>
  <c r="P40" i="18"/>
  <c r="Q39" i="18"/>
  <c r="O38" i="18"/>
  <c r="Q36" i="18"/>
  <c r="O36" i="18"/>
  <c r="Q35" i="18"/>
  <c r="O35" i="18"/>
  <c r="Q34" i="18"/>
  <c r="P34" i="18"/>
  <c r="O34" i="18"/>
  <c r="Q33" i="18"/>
  <c r="O33" i="18"/>
  <c r="Q32" i="18"/>
  <c r="O32" i="18"/>
  <c r="P31" i="18"/>
  <c r="Q30" i="18"/>
  <c r="O29" i="18"/>
  <c r="V28" i="18"/>
  <c r="U28" i="18"/>
  <c r="T28" i="18"/>
  <c r="V27" i="18"/>
  <c r="U27" i="18"/>
  <c r="T27" i="18"/>
  <c r="Q27" i="18"/>
  <c r="P27" i="18"/>
  <c r="O27" i="18"/>
  <c r="V26" i="18"/>
  <c r="U26" i="18"/>
  <c r="T26" i="18"/>
  <c r="Q26" i="18"/>
  <c r="P26" i="18"/>
  <c r="O26" i="18"/>
  <c r="V25" i="18"/>
  <c r="U25" i="18"/>
  <c r="T25" i="18"/>
  <c r="Q25" i="18"/>
  <c r="P25" i="18"/>
  <c r="O25" i="18"/>
  <c r="V24" i="18"/>
  <c r="U24" i="18"/>
  <c r="T24" i="18"/>
  <c r="Q24" i="18"/>
  <c r="P24" i="18"/>
  <c r="O24" i="18"/>
  <c r="T23" i="18"/>
  <c r="Q23" i="18"/>
  <c r="P23" i="18"/>
  <c r="O23" i="18"/>
  <c r="V22" i="18"/>
  <c r="U22" i="18"/>
  <c r="T22" i="18"/>
  <c r="O22" i="18"/>
  <c r="T21" i="18"/>
  <c r="Q21" i="18"/>
  <c r="P21" i="18"/>
  <c r="O21" i="18"/>
  <c r="V20" i="18"/>
  <c r="U20" i="18"/>
  <c r="T20" i="18"/>
  <c r="O20" i="18"/>
  <c r="V19" i="18"/>
  <c r="T19" i="18"/>
  <c r="V18" i="18"/>
  <c r="T18" i="18"/>
  <c r="Q18" i="18"/>
  <c r="O18" i="18"/>
  <c r="V17" i="18"/>
  <c r="T17" i="18"/>
  <c r="Q17" i="18"/>
  <c r="O17" i="18"/>
  <c r="V16" i="18"/>
  <c r="U16" i="18"/>
  <c r="T16" i="18"/>
  <c r="Q16" i="18"/>
  <c r="P16" i="18"/>
  <c r="O16" i="18"/>
  <c r="V15" i="18"/>
  <c r="T15" i="18"/>
  <c r="Q15" i="18"/>
  <c r="O15" i="18"/>
  <c r="U14" i="18"/>
  <c r="Q14" i="18"/>
  <c r="O14" i="18"/>
  <c r="V13" i="18"/>
  <c r="P13" i="18"/>
  <c r="T12" i="18"/>
  <c r="Q12" i="18"/>
  <c r="O11" i="18"/>
  <c r="V10" i="18"/>
  <c r="T10" i="18"/>
  <c r="V9" i="18"/>
  <c r="T9" i="18"/>
  <c r="Q9" i="18"/>
  <c r="P9" i="18"/>
  <c r="O9" i="18"/>
  <c r="V8" i="18"/>
  <c r="T8" i="18"/>
  <c r="Q8" i="18"/>
  <c r="P8" i="18"/>
  <c r="O8" i="18"/>
  <c r="V7" i="18"/>
  <c r="U7" i="18"/>
  <c r="T7" i="18"/>
  <c r="Q7" i="18"/>
  <c r="P7" i="18"/>
  <c r="O7" i="18"/>
  <c r="V6" i="18"/>
  <c r="T6" i="18"/>
  <c r="Q6" i="18"/>
  <c r="P6" i="18"/>
  <c r="O6" i="18"/>
  <c r="V5" i="18"/>
  <c r="T5" i="18"/>
  <c r="Q5" i="18"/>
  <c r="P5" i="18"/>
  <c r="O5" i="18"/>
  <c r="U4" i="18"/>
  <c r="O4" i="18"/>
  <c r="V3" i="18"/>
  <c r="Q3" i="18"/>
  <c r="P3" i="18"/>
  <c r="O3" i="18"/>
  <c r="T2" i="18"/>
  <c r="O2" i="18"/>
  <c r="D41" i="17"/>
  <c r="B41" i="17"/>
  <c r="C54" i="17"/>
  <c r="D54" i="17"/>
  <c r="C53" i="17"/>
  <c r="D53" i="17"/>
  <c r="P25" i="21"/>
  <c r="R25" i="21"/>
  <c r="L25" i="21"/>
  <c r="H49" i="21"/>
  <c r="D20" i="17"/>
  <c r="H37" i="21"/>
  <c r="H39" i="21"/>
  <c r="D15" i="17"/>
  <c r="H41" i="21"/>
  <c r="H51" i="21"/>
  <c r="AV109" i="15"/>
  <c r="AW135" i="15"/>
  <c r="AU135" i="15"/>
  <c r="AW134" i="15"/>
  <c r="AU134" i="15"/>
  <c r="AW133" i="15"/>
  <c r="AU133" i="15"/>
  <c r="AU132" i="15"/>
  <c r="AU131" i="15"/>
  <c r="AU129" i="15"/>
  <c r="AU128" i="15"/>
  <c r="AU127" i="15"/>
  <c r="AU125" i="15"/>
  <c r="AU124" i="15"/>
  <c r="AU123" i="15"/>
  <c r="AU121" i="15"/>
  <c r="AU120" i="15"/>
  <c r="AW114" i="15"/>
  <c r="AU114" i="15"/>
  <c r="AW113" i="15"/>
  <c r="AU113" i="15"/>
  <c r="AW112" i="15"/>
  <c r="AU112" i="15"/>
  <c r="S211" i="7"/>
  <c r="S210" i="7"/>
  <c r="S209" i="7"/>
  <c r="S208" i="7"/>
  <c r="S207" i="7"/>
  <c r="S206" i="7"/>
  <c r="U211" i="7"/>
  <c r="U210" i="7"/>
  <c r="U209" i="7"/>
  <c r="U206" i="7"/>
  <c r="U208" i="7"/>
  <c r="U207" i="7"/>
  <c r="U19" i="18"/>
  <c r="U18" i="18"/>
  <c r="U17" i="18"/>
  <c r="U15" i="18"/>
  <c r="U10" i="18"/>
  <c r="U9" i="18"/>
  <c r="U8" i="18"/>
  <c r="U6" i="18"/>
  <c r="U5" i="18"/>
  <c r="U185" i="7"/>
  <c r="P45" i="18"/>
  <c r="U184" i="7"/>
  <c r="P44" i="18"/>
  <c r="U182" i="7"/>
  <c r="P42" i="18"/>
  <c r="U181" i="7"/>
  <c r="P41" i="18"/>
  <c r="P36" i="18"/>
  <c r="P35" i="18"/>
  <c r="P33" i="18"/>
  <c r="P32" i="18"/>
  <c r="U158" i="7"/>
  <c r="P18" i="18"/>
  <c r="U157" i="7"/>
  <c r="P17" i="18"/>
  <c r="U155" i="7"/>
  <c r="P15" i="18"/>
  <c r="U154" i="7"/>
  <c r="P14" i="18"/>
  <c r="B45" i="9"/>
  <c r="B70" i="11"/>
  <c r="B57" i="11"/>
  <c r="B46" i="9"/>
  <c r="K23" i="17"/>
  <c r="AH24" i="15"/>
  <c r="AH25" i="15"/>
  <c r="Z125" i="7"/>
  <c r="K22" i="17"/>
  <c r="K9" i="17"/>
  <c r="B50" i="9"/>
  <c r="B48" i="9"/>
  <c r="T130" i="7"/>
  <c r="B49" i="9"/>
  <c r="C244" i="15"/>
  <c r="C243" i="15"/>
  <c r="C242" i="15"/>
  <c r="C241" i="15"/>
  <c r="C240" i="15"/>
  <c r="C239" i="15"/>
  <c r="C238" i="15"/>
  <c r="C237" i="15"/>
  <c r="C236" i="15"/>
  <c r="C235" i="15"/>
  <c r="C234" i="15"/>
  <c r="C233" i="15"/>
  <c r="C232" i="15"/>
  <c r="C231" i="15"/>
  <c r="C230" i="15"/>
  <c r="C229" i="15"/>
  <c r="C228" i="15"/>
  <c r="C227" i="15"/>
  <c r="C226" i="15"/>
  <c r="C225" i="15"/>
  <c r="D225" i="15" s="1"/>
  <c r="D226" i="15" s="1"/>
  <c r="C224" i="15"/>
  <c r="C223" i="15"/>
  <c r="C222" i="15"/>
  <c r="C221" i="15"/>
  <c r="D221" i="15" s="1"/>
  <c r="D222" i="15" s="1"/>
  <c r="D223" i="15" s="1"/>
  <c r="D224" i="15" s="1"/>
  <c r="B181" i="15"/>
  <c r="B185" i="15"/>
  <c r="B179" i="15"/>
  <c r="C175" i="15"/>
  <c r="B191" i="15" s="1"/>
  <c r="D174" i="15"/>
  <c r="D29" i="7"/>
  <c r="R79" i="7"/>
  <c r="M107" i="7"/>
  <c r="M106" i="7"/>
  <c r="M105" i="7"/>
  <c r="C17" i="9"/>
  <c r="B17" i="9"/>
  <c r="R100" i="7"/>
  <c r="D39" i="9"/>
  <c r="K105" i="7"/>
  <c r="K106" i="7"/>
  <c r="K107" i="7"/>
  <c r="N108" i="7"/>
  <c r="D28" i="7"/>
  <c r="D34" i="9"/>
  <c r="C129" i="12"/>
  <c r="C130" i="12"/>
  <c r="C131" i="12"/>
  <c r="C132" i="12"/>
  <c r="C133" i="12"/>
  <c r="C134" i="12"/>
  <c r="C135" i="12"/>
  <c r="C136" i="12"/>
  <c r="C137" i="12"/>
  <c r="C138" i="12"/>
  <c r="C139" i="12"/>
  <c r="C140" i="12"/>
  <c r="C141" i="12"/>
  <c r="C142" i="12"/>
  <c r="C143" i="12"/>
  <c r="C144" i="12"/>
  <c r="C145" i="12"/>
  <c r="C146" i="12"/>
  <c r="C147" i="12"/>
  <c r="C148" i="12"/>
  <c r="C149" i="12"/>
  <c r="C150" i="12"/>
  <c r="C151" i="12"/>
  <c r="C152" i="12"/>
  <c r="C153" i="12"/>
  <c r="C154" i="12"/>
  <c r="C155" i="12"/>
  <c r="C156" i="12"/>
  <c r="C157" i="12"/>
  <c r="C158" i="12"/>
  <c r="B167" i="11"/>
  <c r="B159" i="11"/>
  <c r="G120" i="12"/>
  <c r="G121" i="12" s="1"/>
  <c r="H120" i="12"/>
  <c r="H121" i="12" s="1"/>
  <c r="I120" i="12"/>
  <c r="I121" i="12" s="1"/>
  <c r="J120" i="12"/>
  <c r="J121" i="12" s="1"/>
  <c r="K120" i="12"/>
  <c r="K121" i="12" s="1"/>
  <c r="M120" i="12"/>
  <c r="M121" i="12" s="1"/>
  <c r="G119" i="12"/>
  <c r="H119" i="12"/>
  <c r="I119" i="12"/>
  <c r="J119" i="12"/>
  <c r="K119" i="12"/>
  <c r="L119" i="12"/>
  <c r="M119" i="12"/>
  <c r="N119" i="12"/>
  <c r="G118" i="12"/>
  <c r="H118" i="12"/>
  <c r="I118" i="12"/>
  <c r="J118" i="12"/>
  <c r="K118" i="12"/>
  <c r="L118" i="12"/>
  <c r="M118" i="12"/>
  <c r="N118" i="12"/>
  <c r="G117" i="12"/>
  <c r="H117" i="12"/>
  <c r="I117" i="12"/>
  <c r="J117" i="12"/>
  <c r="K117" i="12"/>
  <c r="L117" i="12"/>
  <c r="M117" i="12"/>
  <c r="N117" i="12"/>
  <c r="G116" i="12"/>
  <c r="H116" i="12"/>
  <c r="I116" i="12"/>
  <c r="J116" i="12"/>
  <c r="K116" i="12"/>
  <c r="L116" i="12"/>
  <c r="M116" i="12"/>
  <c r="N116" i="12"/>
  <c r="C123" i="12"/>
  <c r="F120" i="12"/>
  <c r="F121" i="12" s="1"/>
  <c r="F119" i="12"/>
  <c r="F118" i="12"/>
  <c r="F117" i="12"/>
  <c r="F116" i="12"/>
  <c r="C108" i="12"/>
  <c r="C101" i="12"/>
  <c r="D101" i="12"/>
  <c r="C76" i="12"/>
  <c r="C118" i="12"/>
  <c r="C51" i="12"/>
  <c r="D51" i="12"/>
  <c r="C26" i="12"/>
  <c r="F105" i="11"/>
  <c r="D26" i="12"/>
  <c r="D116" i="12"/>
  <c r="C107" i="12"/>
  <c r="D117" i="12"/>
  <c r="D119" i="12"/>
  <c r="C117" i="12"/>
  <c r="C119" i="12"/>
  <c r="D76" i="12"/>
  <c r="D118" i="12"/>
  <c r="C116" i="12"/>
  <c r="B80" i="12"/>
  <c r="D30" i="9"/>
  <c r="D32" i="9"/>
  <c r="B105" i="12"/>
  <c r="B55" i="12"/>
  <c r="B30" i="12"/>
  <c r="B5" i="12"/>
  <c r="AD167" i="11"/>
  <c r="AH167" i="11"/>
  <c r="AC167" i="11"/>
  <c r="AG167" i="11"/>
  <c r="AB167" i="11"/>
  <c r="AF167" i="11"/>
  <c r="AE167" i="11"/>
  <c r="AI167" i="11"/>
  <c r="AJ167" i="11"/>
  <c r="AJ170" i="11"/>
  <c r="AJ171" i="11"/>
  <c r="AI171" i="11"/>
  <c r="AI170" i="11"/>
  <c r="AE171" i="11"/>
  <c r="AE170" i="11"/>
  <c r="AF171" i="11"/>
  <c r="AF170" i="11"/>
  <c r="AB171" i="11"/>
  <c r="AB170" i="11"/>
  <c r="AG170" i="11"/>
  <c r="AG171" i="11"/>
  <c r="AC171" i="11"/>
  <c r="AC170" i="11"/>
  <c r="AH171" i="11"/>
  <c r="AH170" i="11"/>
  <c r="AD170" i="11"/>
  <c r="AD171" i="11"/>
  <c r="G167" i="11"/>
  <c r="G170" i="11"/>
  <c r="G171" i="11"/>
  <c r="H167" i="11"/>
  <c r="H170" i="11"/>
  <c r="H171" i="11"/>
  <c r="I167" i="11"/>
  <c r="H169" i="11"/>
  <c r="I169" i="11"/>
  <c r="I170" i="11"/>
  <c r="I171" i="11"/>
  <c r="J167" i="11"/>
  <c r="J169" i="11"/>
  <c r="J170" i="11"/>
  <c r="J171" i="11"/>
  <c r="K167" i="11"/>
  <c r="K169" i="11"/>
  <c r="K170" i="11"/>
  <c r="K171" i="11"/>
  <c r="L169" i="11"/>
  <c r="L167" i="11"/>
  <c r="L171" i="11"/>
  <c r="L170" i="11"/>
  <c r="M167" i="11"/>
  <c r="M169" i="11"/>
  <c r="M171" i="11"/>
  <c r="M170" i="11"/>
  <c r="N169" i="11"/>
  <c r="N167" i="11"/>
  <c r="N171" i="11"/>
  <c r="N170" i="11"/>
  <c r="O169" i="11"/>
  <c r="O167" i="11"/>
  <c r="O170" i="11"/>
  <c r="O171" i="11"/>
  <c r="P169" i="11"/>
  <c r="P167" i="11"/>
  <c r="P170" i="11"/>
  <c r="P171" i="11"/>
  <c r="Q169" i="11"/>
  <c r="Q167" i="11"/>
  <c r="Q170" i="11"/>
  <c r="Q171" i="11"/>
  <c r="R167" i="11"/>
  <c r="R170" i="11"/>
  <c r="R171" i="11"/>
  <c r="R169" i="11"/>
  <c r="S169" i="11"/>
  <c r="S167" i="11"/>
  <c r="T167" i="11"/>
  <c r="S170" i="11"/>
  <c r="S171" i="11"/>
  <c r="T169" i="11"/>
  <c r="U167" i="11"/>
  <c r="T170" i="11"/>
  <c r="T171" i="11"/>
  <c r="U169" i="11"/>
  <c r="U171" i="11"/>
  <c r="U170" i="11"/>
  <c r="V169" i="11"/>
  <c r="V167" i="11"/>
  <c r="W167" i="11"/>
  <c r="V170" i="11"/>
  <c r="V171" i="11"/>
  <c r="W169" i="11"/>
  <c r="W170" i="11"/>
  <c r="W171" i="11"/>
  <c r="X169" i="11"/>
  <c r="X167" i="11"/>
  <c r="Y167" i="11"/>
  <c r="X170" i="11"/>
  <c r="X171" i="11"/>
  <c r="Y170" i="11"/>
  <c r="Z167" i="11"/>
  <c r="Y169" i="11"/>
  <c r="AA167" i="11"/>
  <c r="Z170" i="11"/>
  <c r="Y171" i="11"/>
  <c r="Z169" i="11"/>
  <c r="AA170" i="11"/>
  <c r="AA171" i="11"/>
  <c r="Z171" i="11"/>
  <c r="AA169" i="11"/>
  <c r="AB169" i="11"/>
  <c r="AC169" i="11"/>
  <c r="AD169" i="11"/>
  <c r="AE169" i="11"/>
  <c r="AF169" i="11"/>
  <c r="AG169" i="11"/>
  <c r="AH169" i="11"/>
  <c r="AI169" i="11"/>
  <c r="AJ169" i="11"/>
  <c r="AC159" i="11"/>
  <c r="AC163" i="11"/>
  <c r="AC162" i="11"/>
  <c r="AF163" i="11"/>
  <c r="AF162" i="11"/>
  <c r="AD163" i="11"/>
  <c r="AD162" i="11"/>
  <c r="AG163" i="11"/>
  <c r="AG162" i="11"/>
  <c r="AB163" i="11"/>
  <c r="AB162" i="11"/>
  <c r="AI163" i="11"/>
  <c r="AI162" i="11"/>
  <c r="AE163" i="11"/>
  <c r="AE162" i="11"/>
  <c r="AJ163" i="11"/>
  <c r="AJ162" i="11"/>
  <c r="AH162" i="11"/>
  <c r="AH163" i="11"/>
  <c r="D121" i="12"/>
  <c r="G159" i="11"/>
  <c r="G162" i="11"/>
  <c r="G163" i="11"/>
  <c r="H161" i="11"/>
  <c r="H162" i="11"/>
  <c r="H163" i="11"/>
  <c r="I161" i="11"/>
  <c r="I163" i="11"/>
  <c r="I162" i="11"/>
  <c r="J161" i="11"/>
  <c r="J163" i="11"/>
  <c r="K163" i="11"/>
  <c r="L161" i="11"/>
  <c r="L163" i="11"/>
  <c r="M162" i="11"/>
  <c r="M163" i="11"/>
  <c r="N162" i="11"/>
  <c r="N163" i="11"/>
  <c r="O162" i="11"/>
  <c r="O163" i="11"/>
  <c r="P162" i="11"/>
  <c r="P163" i="11"/>
  <c r="Q162" i="11"/>
  <c r="Q163" i="11"/>
  <c r="R162" i="11"/>
  <c r="R163" i="11"/>
  <c r="S162" i="11"/>
  <c r="S163" i="11"/>
  <c r="T162" i="11"/>
  <c r="T163" i="11"/>
  <c r="U161" i="11"/>
  <c r="U163" i="11"/>
  <c r="V161" i="11"/>
  <c r="V163" i="11"/>
  <c r="W161" i="11"/>
  <c r="W163" i="11"/>
  <c r="X161" i="11"/>
  <c r="X163" i="11"/>
  <c r="Y161" i="11"/>
  <c r="Y163" i="11"/>
  <c r="Z161" i="11"/>
  <c r="Z163" i="11"/>
  <c r="AA163" i="11"/>
  <c r="AA161" i="11"/>
  <c r="AB161" i="11"/>
  <c r="AC161" i="11"/>
  <c r="AD161" i="11"/>
  <c r="AE161" i="11"/>
  <c r="AF161" i="11"/>
  <c r="AG161" i="11"/>
  <c r="AH161" i="11"/>
  <c r="AI161" i="11"/>
  <c r="AJ161" i="11"/>
  <c r="AA162" i="11"/>
  <c r="Z162" i="11"/>
  <c r="Z159" i="11"/>
  <c r="Y162" i="11"/>
  <c r="Y159" i="11"/>
  <c r="X162" i="11"/>
  <c r="X159" i="11"/>
  <c r="W162" i="11"/>
  <c r="W159" i="11"/>
  <c r="V162" i="11"/>
  <c r="V159" i="11"/>
  <c r="U162" i="11"/>
  <c r="U159" i="11"/>
  <c r="T159" i="11"/>
  <c r="T161" i="11"/>
  <c r="S159" i="11"/>
  <c r="S161" i="11"/>
  <c r="R161" i="11"/>
  <c r="R159" i="11"/>
  <c r="Q159" i="11"/>
  <c r="Q161" i="11"/>
  <c r="P159" i="11"/>
  <c r="P161" i="11"/>
  <c r="O161" i="11"/>
  <c r="AA159" i="11"/>
  <c r="N161" i="11"/>
  <c r="N159" i="11"/>
  <c r="O159" i="11"/>
  <c r="M159" i="11"/>
  <c r="M161" i="11"/>
  <c r="L162" i="11"/>
  <c r="L159" i="11"/>
  <c r="K161" i="11"/>
  <c r="K162" i="11"/>
  <c r="K159" i="11"/>
  <c r="J162" i="11"/>
  <c r="J159" i="11"/>
  <c r="I159" i="11"/>
  <c r="H159" i="11"/>
  <c r="AB159" i="11"/>
  <c r="AD159" i="11"/>
  <c r="AE159" i="11"/>
  <c r="AF159" i="11"/>
  <c r="AG159" i="11"/>
  <c r="AH159" i="11"/>
  <c r="AI159" i="11"/>
  <c r="AJ159" i="11"/>
  <c r="AV108" i="15"/>
  <c r="R101" i="19"/>
  <c r="L120" i="12"/>
  <c r="L121" i="12" s="1"/>
  <c r="D31" i="9"/>
  <c r="B53" i="17"/>
  <c r="B183" i="15"/>
  <c r="B184" i="15" s="1"/>
  <c r="B186" i="15" s="1"/>
  <c r="B187" i="15" s="1"/>
  <c r="AT102" i="15"/>
  <c r="D25" i="9"/>
  <c r="AT103" i="15"/>
  <c r="D36" i="9"/>
  <c r="F98" i="11"/>
  <c r="D37" i="9"/>
  <c r="X79" i="26"/>
  <c r="X77" i="26"/>
  <c r="X80" i="26"/>
  <c r="AH92" i="11"/>
  <c r="AH93" i="11" s="1" a="1"/>
  <c r="AH93" i="11" s="1"/>
  <c r="G92" i="11"/>
  <c r="T92" i="11"/>
  <c r="R92" i="11"/>
  <c r="AB92" i="11"/>
  <c r="AB93" i="11" s="1" a="1"/>
  <c r="AB93" i="11" s="1"/>
  <c r="M92" i="11"/>
  <c r="U92" i="11"/>
  <c r="AI132" i="11"/>
  <c r="AI40" i="11" s="1"/>
  <c r="AJ132" i="11"/>
  <c r="AJ40" i="11" s="1"/>
  <c r="AG132" i="11"/>
  <c r="AF92" i="11"/>
  <c r="AF93" i="11" s="1" a="1"/>
  <c r="AF93" i="11" s="1"/>
  <c r="V92" i="11"/>
  <c r="AE16" i="11"/>
  <c r="AA16" i="11"/>
  <c r="AH132" i="11"/>
  <c r="AH40" i="11" s="1"/>
  <c r="AJ92" i="11"/>
  <c r="AJ93" i="11" s="1" a="1"/>
  <c r="AJ93" i="11" s="1"/>
  <c r="Z92" i="11"/>
  <c r="I92" i="11"/>
  <c r="L92" i="11"/>
  <c r="AF132" i="11"/>
  <c r="AF40" i="11" s="1"/>
  <c r="S92" i="11"/>
  <c r="AC16" i="11"/>
  <c r="AI92" i="11"/>
  <c r="AI93" i="11" s="1" a="1"/>
  <c r="AI93" i="11" s="1"/>
  <c r="H92" i="11"/>
  <c r="AG92" i="11"/>
  <c r="AG93" i="11" s="1" a="1"/>
  <c r="AG93" i="11" s="1"/>
  <c r="AF16" i="11"/>
  <c r="AE132" i="11"/>
  <c r="AE40" i="11" s="1"/>
  <c r="AD132" i="11"/>
  <c r="AD40" i="11" s="1"/>
  <c r="P92" i="11"/>
  <c r="AH16" i="11"/>
  <c r="AJ16" i="11"/>
  <c r="AA92" i="11"/>
  <c r="AA93" i="11" s="1" a="1"/>
  <c r="AA93" i="11" s="1"/>
  <c r="Q92" i="11"/>
  <c r="K92" i="11"/>
  <c r="AI16" i="11"/>
  <c r="O92" i="11"/>
  <c r="AE92" i="11"/>
  <c r="AE93" i="11" s="1" a="1"/>
  <c r="AE93" i="11" s="1"/>
  <c r="N92" i="11"/>
  <c r="AD16" i="11"/>
  <c r="AB16" i="11"/>
  <c r="AC132" i="11"/>
  <c r="AC40" i="11" s="1"/>
  <c r="AG16" i="11"/>
  <c r="AC92" i="11"/>
  <c r="AC93" i="11" s="1" a="1"/>
  <c r="AC93" i="11" s="1"/>
  <c r="D48" i="9"/>
  <c r="AA132" i="11"/>
  <c r="AA40" i="11" s="1"/>
  <c r="Y92" i="11"/>
  <c r="X92" i="11"/>
  <c r="W92" i="11"/>
  <c r="AB132" i="11"/>
  <c r="AB40" i="11" s="1"/>
  <c r="AD92" i="11"/>
  <c r="AD93" i="11" s="1" a="1"/>
  <c r="AD93" i="11" s="1"/>
  <c r="J92" i="11"/>
  <c r="I28" i="10"/>
  <c r="E28" i="10"/>
  <c r="AA131" i="11"/>
  <c r="Q36" i="10"/>
  <c r="P27" i="10"/>
  <c r="M32" i="10"/>
  <c r="AJ131" i="11"/>
  <c r="M35" i="10"/>
  <c r="R131" i="11"/>
  <c r="H29" i="10"/>
  <c r="AB131" i="11"/>
  <c r="E31" i="10"/>
  <c r="K30" i="10"/>
  <c r="N34" i="10"/>
  <c r="J31" i="10"/>
  <c r="E27" i="10"/>
  <c r="AC131" i="11"/>
  <c r="Q28" i="10"/>
  <c r="H32" i="10"/>
  <c r="E30" i="10"/>
  <c r="E29" i="10"/>
  <c r="G27" i="10"/>
  <c r="T131" i="11"/>
  <c r="O131" i="11"/>
  <c r="AE131" i="11"/>
  <c r="K28" i="10"/>
  <c r="H131" i="11"/>
  <c r="J27" i="10"/>
  <c r="C31" i="10"/>
  <c r="C29" i="10"/>
  <c r="F32" i="10"/>
  <c r="C34" i="10"/>
  <c r="Q35" i="10"/>
  <c r="Q33" i="10"/>
  <c r="Q131" i="11"/>
  <c r="J33" i="10"/>
  <c r="J32" i="10"/>
  <c r="P34" i="10"/>
  <c r="H28" i="10"/>
  <c r="P28" i="10"/>
  <c r="I29" i="10"/>
  <c r="I131" i="11"/>
  <c r="D34" i="10"/>
  <c r="E34" i="10"/>
  <c r="N36" i="10"/>
  <c r="S131" i="11"/>
  <c r="G34" i="10"/>
  <c r="H34" i="10"/>
  <c r="F30" i="10"/>
  <c r="M36" i="10"/>
  <c r="I31" i="10"/>
  <c r="P131" i="11"/>
  <c r="L131" i="11"/>
  <c r="I32" i="10"/>
  <c r="K32" i="10"/>
  <c r="Y131" i="11"/>
  <c r="G29" i="10"/>
  <c r="I27" i="10"/>
  <c r="N35" i="10"/>
  <c r="M30" i="10"/>
  <c r="N33" i="10"/>
  <c r="P30" i="10"/>
  <c r="M131" i="11"/>
  <c r="C28" i="10"/>
  <c r="H27" i="10"/>
  <c r="D32" i="10"/>
  <c r="Q29" i="10"/>
  <c r="F34" i="10"/>
  <c r="W131" i="11"/>
  <c r="P32" i="10"/>
  <c r="K131" i="11"/>
  <c r="H31" i="10"/>
  <c r="J35" i="10"/>
  <c r="F36" i="10"/>
  <c r="E35" i="10"/>
  <c r="M31" i="10"/>
  <c r="D11" i="9"/>
  <c r="AH131" i="11"/>
  <c r="C33" i="10"/>
  <c r="I30" i="10"/>
  <c r="M28" i="10"/>
  <c r="C30" i="10"/>
  <c r="G31" i="10"/>
  <c r="K29" i="10"/>
  <c r="N31" i="10"/>
  <c r="G36" i="10"/>
  <c r="P31" i="10"/>
  <c r="J36" i="10"/>
  <c r="Q34" i="10"/>
  <c r="P33" i="10"/>
  <c r="D31" i="10"/>
  <c r="I36" i="10"/>
  <c r="N27" i="10"/>
  <c r="N28" i="10"/>
  <c r="J28" i="10"/>
  <c r="N131" i="11"/>
  <c r="M76" i="7"/>
  <c r="H30" i="10"/>
  <c r="M34" i="10"/>
  <c r="D30" i="10"/>
  <c r="H35" i="10"/>
  <c r="J34" i="10"/>
  <c r="V131" i="11"/>
  <c r="F27" i="10"/>
  <c r="X131" i="11"/>
  <c r="D33" i="10"/>
  <c r="J131" i="11"/>
  <c r="AF131" i="11"/>
  <c r="P35" i="10"/>
  <c r="M27" i="10"/>
  <c r="D9" i="7"/>
  <c r="H36" i="10"/>
  <c r="Q30" i="10"/>
  <c r="C32" i="10"/>
  <c r="F33" i="10"/>
  <c r="G35" i="10"/>
  <c r="E36" i="10"/>
  <c r="AI131" i="11"/>
  <c r="K27" i="10"/>
  <c r="J30" i="10"/>
  <c r="Q27" i="10"/>
  <c r="G30" i="10"/>
  <c r="K31" i="10"/>
  <c r="M29" i="10"/>
  <c r="N30" i="10"/>
  <c r="I35" i="10"/>
  <c r="U131" i="11"/>
  <c r="F35" i="10"/>
  <c r="K34" i="10"/>
  <c r="E32" i="10"/>
  <c r="D35" i="10"/>
  <c r="M33" i="10"/>
  <c r="K35" i="10"/>
  <c r="G32" i="10"/>
  <c r="H33" i="10"/>
  <c r="D29" i="10"/>
  <c r="G131" i="11"/>
  <c r="N29" i="10"/>
  <c r="AG131" i="11"/>
  <c r="F28" i="10"/>
  <c r="I33" i="10"/>
  <c r="Q32" i="10"/>
  <c r="D28" i="10"/>
  <c r="F29" i="10"/>
  <c r="C27" i="10"/>
  <c r="I34" i="10"/>
  <c r="C35" i="10"/>
  <c r="N32" i="10"/>
  <c r="Q31" i="10"/>
  <c r="P36" i="10"/>
  <c r="G33" i="10"/>
  <c r="J29" i="10"/>
  <c r="K33" i="10"/>
  <c r="E33" i="10"/>
  <c r="D27" i="10"/>
  <c r="C36" i="10"/>
  <c r="G28" i="10"/>
  <c r="P29" i="10"/>
  <c r="AD131" i="11"/>
  <c r="F31" i="10"/>
  <c r="K36" i="10"/>
  <c r="D36" i="10"/>
  <c r="C109" i="12"/>
  <c r="D41" i="9"/>
  <c r="V14" i="18"/>
  <c r="V4" i="18"/>
  <c r="D50" i="9"/>
  <c r="D44" i="9"/>
  <c r="I79" i="26"/>
  <c r="P79" i="26"/>
  <c r="Q31" i="18"/>
  <c r="C81" i="17"/>
  <c r="C84" i="17"/>
  <c r="G129" i="7" a="1"/>
  <c r="E87" i="27" a="1"/>
  <c r="S103" i="19" a="1"/>
  <c r="S102" i="19" a="1"/>
  <c r="E92" i="27" a="1"/>
  <c r="C83" i="17"/>
  <c r="E85" i="27" a="1"/>
  <c r="E90" i="27" a="1"/>
  <c r="C85" i="17"/>
  <c r="S99" i="19" a="1"/>
  <c r="G134" i="7" a="1"/>
  <c r="C86" i="17"/>
  <c r="S98" i="19" a="1"/>
  <c r="S101" i="19" a="1"/>
  <c r="G136" i="7" a="1"/>
  <c r="E88" i="27" a="1"/>
  <c r="E86" i="27" a="1"/>
  <c r="C82" i="17"/>
  <c r="E91" i="27" a="1"/>
  <c r="G130" i="7" a="1"/>
  <c r="E89" i="27" a="1"/>
  <c r="G135" i="7" a="1"/>
  <c r="B40" i="15" l="1"/>
  <c r="B41" i="15" s="1"/>
  <c r="D58" i="15" s="1"/>
  <c r="B17" i="15"/>
  <c r="AS108" i="15" s="1"/>
  <c r="AS102" i="15"/>
  <c r="F14" i="26"/>
  <c r="F12" i="26"/>
  <c r="U9" i="11"/>
  <c r="U58" i="11" s="1"/>
  <c r="V9" i="11"/>
  <c r="V58" i="11" s="1"/>
  <c r="D54" i="15"/>
  <c r="B46" i="15"/>
  <c r="D46" i="15" s="1"/>
  <c r="D175" i="15"/>
  <c r="D176" i="15" s="1"/>
  <c r="D227" i="15"/>
  <c r="D228" i="15" s="1"/>
  <c r="D229" i="15" s="1"/>
  <c r="D230" i="15" s="1"/>
  <c r="D231" i="15" s="1"/>
  <c r="D232" i="15" s="1"/>
  <c r="D233" i="15" s="1"/>
  <c r="D234" i="15" s="1"/>
  <c r="D235" i="15" s="1"/>
  <c r="D236" i="15" s="1"/>
  <c r="D237" i="15" s="1"/>
  <c r="D238" i="15" s="1"/>
  <c r="D239" i="15" s="1"/>
  <c r="D240" i="15" s="1"/>
  <c r="D241" i="15" s="1"/>
  <c r="D242" i="15" s="1"/>
  <c r="D243" i="15" s="1"/>
  <c r="D244" i="15" s="1"/>
  <c r="B23" i="15"/>
  <c r="B28" i="15" s="1"/>
  <c r="M79" i="7"/>
  <c r="K48" i="21"/>
  <c r="L48" i="21" s="1"/>
  <c r="Q10" i="21"/>
  <c r="L6" i="17"/>
  <c r="AG17" i="11"/>
  <c r="AG19" i="11" s="1"/>
  <c r="AG20" i="11" s="1"/>
  <c r="AH17" i="11"/>
  <c r="AH19" i="11" s="1"/>
  <c r="AH20" i="11" s="1"/>
  <c r="AA17" i="11"/>
  <c r="AA19" i="11" s="1"/>
  <c r="AA20" i="11" s="1"/>
  <c r="E55" i="17"/>
  <c r="G54" i="21"/>
  <c r="S33" i="21" s="1"/>
  <c r="AH52" i="15" s="1"/>
  <c r="C87" i="11"/>
  <c r="AE88" i="11" s="1"/>
  <c r="O31" i="21"/>
  <c r="P31" i="21" s="1"/>
  <c r="P39" i="21" s="1"/>
  <c r="P41" i="21" s="1"/>
  <c r="C7" i="21"/>
  <c r="Q47" i="21" s="1"/>
  <c r="R47" i="21" s="1"/>
  <c r="R49" i="21" s="1"/>
  <c r="D47" i="17"/>
  <c r="E47" i="17" s="1"/>
  <c r="K45" i="21"/>
  <c r="K47" i="21" s="1"/>
  <c r="L47" i="21" s="1"/>
  <c r="O45" i="21"/>
  <c r="P45" i="21" s="1"/>
  <c r="E52" i="17"/>
  <c r="AS104" i="15"/>
  <c r="R41" i="21"/>
  <c r="L41" i="21"/>
  <c r="L53" i="21" s="1"/>
  <c r="AI17" i="11"/>
  <c r="AI19" i="11" s="1"/>
  <c r="AI20" i="11" s="1"/>
  <c r="AE17" i="11"/>
  <c r="AE61" i="11" s="1"/>
  <c r="AB17" i="11"/>
  <c r="AB19" i="11" s="1"/>
  <c r="AB20" i="11" s="1"/>
  <c r="AC17" i="11"/>
  <c r="AC19" i="11" s="1"/>
  <c r="AC20" i="11" s="1"/>
  <c r="AD17" i="11"/>
  <c r="AD19" i="11" s="1"/>
  <c r="AF17" i="11"/>
  <c r="AF19" i="11" s="1"/>
  <c r="AF20" i="11" s="1"/>
  <c r="Z131" i="11"/>
  <c r="Y105" i="11"/>
  <c r="Y110" i="11" s="1"/>
  <c r="AJ17" i="11"/>
  <c r="AJ19" i="11" s="1"/>
  <c r="AJ20" i="11" s="1"/>
  <c r="E40" i="17"/>
  <c r="L23" i="17"/>
  <c r="AF19" i="15"/>
  <c r="E54" i="17"/>
  <c r="E53" i="17"/>
  <c r="G22" i="7"/>
  <c r="L9" i="11"/>
  <c r="L58" i="11" s="1"/>
  <c r="E52" i="15"/>
  <c r="G76" i="26" s="1"/>
  <c r="U144" i="7"/>
  <c r="P4" i="18" s="1"/>
  <c r="E51" i="15"/>
  <c r="AG57" i="11"/>
  <c r="E62" i="27"/>
  <c r="Z58" i="15"/>
  <c r="AV61" i="15"/>
  <c r="P85" i="26" s="1"/>
  <c r="I85" i="26"/>
  <c r="E28" i="27"/>
  <c r="E50" i="15"/>
  <c r="G74" i="26" s="1"/>
  <c r="F97" i="11"/>
  <c r="C23" i="27"/>
  <c r="O9" i="11"/>
  <c r="O58" i="11" s="1"/>
  <c r="G9" i="11"/>
  <c r="G58" i="11" s="1"/>
  <c r="C9" i="27"/>
  <c r="Q9" i="11"/>
  <c r="Q58" i="11" s="1"/>
  <c r="D47" i="9"/>
  <c r="R9" i="11"/>
  <c r="R58" i="11" s="1"/>
  <c r="D20" i="9"/>
  <c r="X9" i="11"/>
  <c r="X58" i="11" s="1"/>
  <c r="W16" i="11"/>
  <c r="D17" i="9"/>
  <c r="K9" i="11"/>
  <c r="K58" i="11" s="1"/>
  <c r="W9" i="11"/>
  <c r="W58" i="11" s="1"/>
  <c r="N34" i="15"/>
  <c r="AF15" i="15"/>
  <c r="N37" i="15"/>
  <c r="N32" i="15"/>
  <c r="N25" i="15"/>
  <c r="N38" i="15"/>
  <c r="N35" i="15"/>
  <c r="D44" i="15"/>
  <c r="Y9" i="11"/>
  <c r="Y58" i="11" s="1"/>
  <c r="P9" i="11"/>
  <c r="P58" i="11" s="1"/>
  <c r="M9" i="11"/>
  <c r="M58" i="11" s="1"/>
  <c r="J9" i="11"/>
  <c r="J58" i="11" s="1"/>
  <c r="H9" i="11"/>
  <c r="H58" i="11" s="1"/>
  <c r="B162" i="15"/>
  <c r="B161" i="15" s="1"/>
  <c r="B163" i="15" s="1"/>
  <c r="AS103" i="15"/>
  <c r="I84" i="26"/>
  <c r="N9" i="11"/>
  <c r="N58" i="11" s="1"/>
  <c r="Z9" i="11"/>
  <c r="Z58" i="11" s="1"/>
  <c r="T9" i="11"/>
  <c r="T58" i="11" s="1"/>
  <c r="D48" i="15"/>
  <c r="D71" i="15"/>
  <c r="I87" i="26" s="1"/>
  <c r="H71" i="26"/>
  <c r="I9" i="11"/>
  <c r="I58" i="11" s="1"/>
  <c r="M78" i="7"/>
  <c r="AG11" i="11"/>
  <c r="AA11" i="11"/>
  <c r="AI11" i="11"/>
  <c r="AH57" i="11"/>
  <c r="AF57" i="11"/>
  <c r="AF172" i="11"/>
  <c r="AA57" i="11"/>
  <c r="AE57" i="11"/>
  <c r="T164" i="11"/>
  <c r="U215" i="7"/>
  <c r="T215" i="7" s="1"/>
  <c r="AD57" i="11"/>
  <c r="AC57" i="11"/>
  <c r="AC164" i="11"/>
  <c r="AH172" i="11"/>
  <c r="G164" i="11"/>
  <c r="AB11" i="11"/>
  <c r="AD11" i="11"/>
  <c r="AC11" i="11"/>
  <c r="AG40" i="11"/>
  <c r="L164" i="11"/>
  <c r="AF11" i="11"/>
  <c r="S164" i="11"/>
  <c r="J164" i="11"/>
  <c r="U164" i="11"/>
  <c r="Y164" i="11"/>
  <c r="AF164" i="11"/>
  <c r="Z164" i="11"/>
  <c r="V164" i="11"/>
  <c r="R164" i="11"/>
  <c r="N164" i="11"/>
  <c r="I164" i="11"/>
  <c r="AI164" i="11"/>
  <c r="AG172" i="11"/>
  <c r="Y172" i="11"/>
  <c r="W172" i="11"/>
  <c r="U172" i="11"/>
  <c r="M172" i="11"/>
  <c r="K172" i="11"/>
  <c r="I172" i="11"/>
  <c r="AI172" i="11"/>
  <c r="U220" i="7"/>
  <c r="T220" i="7" s="1"/>
  <c r="AJ57" i="11"/>
  <c r="AH11" i="11"/>
  <c r="AI57" i="11"/>
  <c r="G172" i="11"/>
  <c r="AB57" i="11"/>
  <c r="U219" i="7"/>
  <c r="T219" i="7" s="1"/>
  <c r="U218" i="7"/>
  <c r="T218" i="7" s="1"/>
  <c r="AE11" i="11"/>
  <c r="AH58" i="11"/>
  <c r="AJ11" i="11"/>
  <c r="AA164" i="11"/>
  <c r="P172" i="11"/>
  <c r="N172" i="11"/>
  <c r="L172" i="11"/>
  <c r="U217" i="7"/>
  <c r="T217" i="7" s="1"/>
  <c r="U216" i="7"/>
  <c r="T216" i="7" s="1"/>
  <c r="AH164" i="11"/>
  <c r="K164" i="11"/>
  <c r="AJ164" i="11"/>
  <c r="AE172" i="11"/>
  <c r="AD164" i="11"/>
  <c r="AE164" i="11"/>
  <c r="Q164" i="11"/>
  <c r="M164" i="11"/>
  <c r="X172" i="11"/>
  <c r="V172" i="11"/>
  <c r="S172" i="11"/>
  <c r="Q172" i="11"/>
  <c r="O172" i="11"/>
  <c r="H172" i="11"/>
  <c r="AD172" i="11"/>
  <c r="AB172" i="11"/>
  <c r="AJ172" i="11"/>
  <c r="O164" i="11"/>
  <c r="W164" i="11"/>
  <c r="AB164" i="11"/>
  <c r="X164" i="11"/>
  <c r="P164" i="11"/>
  <c r="H164" i="11"/>
  <c r="AG164" i="11"/>
  <c r="AC172" i="11"/>
  <c r="Z172" i="11"/>
  <c r="R172" i="11"/>
  <c r="J172" i="11"/>
  <c r="AA172" i="11"/>
  <c r="T172" i="11"/>
  <c r="S103" i="19"/>
  <c r="E91" i="27"/>
  <c r="S102" i="19"/>
  <c r="E86" i="27"/>
  <c r="E92" i="27"/>
  <c r="G129" i="7"/>
  <c r="E87" i="27"/>
  <c r="E88" i="27"/>
  <c r="S98" i="19"/>
  <c r="G136" i="7"/>
  <c r="E85" i="27"/>
  <c r="G134" i="7"/>
  <c r="G135" i="7"/>
  <c r="E89" i="27"/>
  <c r="S99" i="19"/>
  <c r="G130" i="7"/>
  <c r="E90" i="27"/>
  <c r="S101" i="19"/>
  <c r="B25" i="15" l="1"/>
  <c r="B26" i="15" s="1"/>
  <c r="D45" i="15"/>
  <c r="D47" i="15"/>
  <c r="F10" i="26"/>
  <c r="H75" i="26"/>
  <c r="AG61" i="11"/>
  <c r="AD88" i="11"/>
  <c r="AG90" i="11"/>
  <c r="X90" i="11"/>
  <c r="U90" i="11"/>
  <c r="AA61" i="11"/>
  <c r="L45" i="21"/>
  <c r="L49" i="21" s="1"/>
  <c r="L51" i="21" s="1"/>
  <c r="G88" i="11" s="1"/>
  <c r="G93" i="11" s="1" a="1"/>
  <c r="G93" i="11" s="1"/>
  <c r="G17" i="11" s="1"/>
  <c r="AH61" i="11"/>
  <c r="AC90" i="11"/>
  <c r="Q90" i="11"/>
  <c r="N90" i="11"/>
  <c r="T90" i="11"/>
  <c r="AB88" i="11"/>
  <c r="AA88" i="11"/>
  <c r="Z90" i="11"/>
  <c r="AC88" i="11"/>
  <c r="AE90" i="11"/>
  <c r="AI88" i="11"/>
  <c r="AH90" i="11"/>
  <c r="R88" i="11"/>
  <c r="M90" i="11"/>
  <c r="P75" i="7"/>
  <c r="W104" i="11"/>
  <c r="W27" i="11" s="1"/>
  <c r="S90" i="11"/>
  <c r="AA90" i="11"/>
  <c r="AJ88" i="11"/>
  <c r="S88" i="11"/>
  <c r="H90" i="11"/>
  <c r="Y90" i="11"/>
  <c r="K90" i="11"/>
  <c r="S32" i="21"/>
  <c r="AH51" i="15" s="1"/>
  <c r="L90" i="11"/>
  <c r="I90" i="11"/>
  <c r="AI90" i="11"/>
  <c r="W90" i="11"/>
  <c r="X88" i="11"/>
  <c r="S31" i="21"/>
  <c r="AF90" i="11"/>
  <c r="U88" i="11"/>
  <c r="V90" i="11"/>
  <c r="AF88" i="11"/>
  <c r="T88" i="11"/>
  <c r="V88" i="11"/>
  <c r="W88" i="11"/>
  <c r="Y88" i="11"/>
  <c r="P90" i="11"/>
  <c r="AD90" i="11"/>
  <c r="G90" i="11"/>
  <c r="AG88" i="11"/>
  <c r="O90" i="11"/>
  <c r="R90" i="11"/>
  <c r="Z88" i="11"/>
  <c r="AH88" i="11"/>
  <c r="Q88" i="11"/>
  <c r="AB90" i="11"/>
  <c r="AJ90" i="11"/>
  <c r="J90" i="11"/>
  <c r="Z105" i="11"/>
  <c r="Z31" i="11" s="1"/>
  <c r="Z63" i="11" s="1"/>
  <c r="S105" i="11"/>
  <c r="S31" i="11" s="1"/>
  <c r="S63" i="11" s="1"/>
  <c r="V104" i="11"/>
  <c r="V27" i="11" s="1"/>
  <c r="R105" i="11"/>
  <c r="R110" i="11" s="1"/>
  <c r="AE105" i="11"/>
  <c r="AE31" i="11" s="1"/>
  <c r="AE63" i="11" s="1"/>
  <c r="AJ105" i="11"/>
  <c r="AJ31" i="11" s="1"/>
  <c r="AJ63" i="11" s="1"/>
  <c r="AH104" i="11"/>
  <c r="AH27" i="11" s="1"/>
  <c r="Z104" i="11"/>
  <c r="Z27" i="11" s="1"/>
  <c r="W105" i="11"/>
  <c r="W110" i="11" s="1"/>
  <c r="X105" i="11"/>
  <c r="X110" i="11" s="1"/>
  <c r="AA105" i="11"/>
  <c r="AA31" i="11" s="1"/>
  <c r="AA63" i="11" s="1"/>
  <c r="T104" i="11"/>
  <c r="T27" i="11" s="1"/>
  <c r="R104" i="11"/>
  <c r="R27" i="11" s="1"/>
  <c r="Q104" i="11"/>
  <c r="Q27" i="11" s="1"/>
  <c r="AF105" i="11"/>
  <c r="AF31" i="11" s="1"/>
  <c r="AF63" i="11" s="1"/>
  <c r="AC104" i="11"/>
  <c r="AC27" i="11" s="1"/>
  <c r="AG104" i="11"/>
  <c r="AG27" i="11" s="1"/>
  <c r="U104" i="11"/>
  <c r="U27" i="11" s="1"/>
  <c r="AD104" i="11"/>
  <c r="AD27" i="11" s="1"/>
  <c r="R51" i="21"/>
  <c r="J88" i="11" s="1"/>
  <c r="O47" i="21"/>
  <c r="P47" i="21" s="1"/>
  <c r="P49" i="21" s="1"/>
  <c r="P51" i="21" s="1"/>
  <c r="H88" i="11" s="1"/>
  <c r="R93" i="11" s="1" a="1"/>
  <c r="R93" i="11" s="1"/>
  <c r="R17" i="11" s="1"/>
  <c r="AD61" i="11"/>
  <c r="AI61" i="11"/>
  <c r="Y104" i="11"/>
  <c r="Y27" i="11" s="1"/>
  <c r="AI104" i="11"/>
  <c r="AI105" i="11"/>
  <c r="AI31" i="11" s="1"/>
  <c r="AI63" i="11" s="1"/>
  <c r="Q105" i="11"/>
  <c r="Q31" i="11" s="1"/>
  <c r="Q63" i="11" s="1"/>
  <c r="AB105" i="11"/>
  <c r="AB110" i="11" s="1"/>
  <c r="AI25" i="11"/>
  <c r="AB104" i="11"/>
  <c r="AB27" i="11" s="1"/>
  <c r="V105" i="11"/>
  <c r="V31" i="11" s="1"/>
  <c r="V63" i="11" s="1"/>
  <c r="AC105" i="11"/>
  <c r="AC31" i="11" s="1"/>
  <c r="AC63" i="11" s="1"/>
  <c r="U105" i="11"/>
  <c r="U31" i="11" s="1"/>
  <c r="U63" i="11" s="1"/>
  <c r="AJ104" i="11"/>
  <c r="AJ27" i="11" s="1"/>
  <c r="AD105" i="11"/>
  <c r="AD110" i="11" s="1"/>
  <c r="S104" i="11"/>
  <c r="S27" i="11" s="1"/>
  <c r="AE104" i="11"/>
  <c r="AE27" i="11" s="1"/>
  <c r="T105" i="11"/>
  <c r="T31" i="11" s="1"/>
  <c r="T63" i="11" s="1"/>
  <c r="M83" i="7"/>
  <c r="AF104" i="11"/>
  <c r="AF27" i="11" s="1"/>
  <c r="X104" i="11"/>
  <c r="X27" i="11" s="1"/>
  <c r="AH105" i="11"/>
  <c r="AH110" i="11" s="1"/>
  <c r="AA104" i="11"/>
  <c r="AA27" i="11" s="1"/>
  <c r="AG105" i="11"/>
  <c r="D57" i="15"/>
  <c r="AB61" i="11"/>
  <c r="AJ61" i="11"/>
  <c r="AC61" i="11"/>
  <c r="AE19" i="11"/>
  <c r="AE20" i="11" s="1"/>
  <c r="AF61" i="11"/>
  <c r="Y16" i="11"/>
  <c r="N50" i="15"/>
  <c r="P50" i="15" s="1"/>
  <c r="Q50" i="15" s="1"/>
  <c r="G75" i="26"/>
  <c r="H76" i="26"/>
  <c r="V190" i="7"/>
  <c r="Q50" i="18" s="1"/>
  <c r="M16" i="11"/>
  <c r="L16" i="11"/>
  <c r="H74" i="26"/>
  <c r="AI50" i="15"/>
  <c r="D56" i="15"/>
  <c r="E56" i="15" s="1"/>
  <c r="D68" i="27" s="1"/>
  <c r="P16" i="11"/>
  <c r="K16" i="11"/>
  <c r="U16" i="11"/>
  <c r="I16" i="11"/>
  <c r="X16" i="11"/>
  <c r="S16" i="11"/>
  <c r="T16" i="11"/>
  <c r="AD25" i="11"/>
  <c r="V16" i="11"/>
  <c r="N16" i="11"/>
  <c r="H16" i="11"/>
  <c r="Q16" i="11"/>
  <c r="O16" i="11"/>
  <c r="Z16" i="11"/>
  <c r="R16" i="11"/>
  <c r="G16" i="11"/>
  <c r="J16" i="11"/>
  <c r="U162" i="7"/>
  <c r="P22" i="18" s="1"/>
  <c r="N33" i="15"/>
  <c r="E9" i="27" s="1"/>
  <c r="N26" i="15"/>
  <c r="N77" i="15" s="1"/>
  <c r="X40" i="15" s="1"/>
  <c r="AT105" i="15"/>
  <c r="N30" i="15"/>
  <c r="C38" i="17"/>
  <c r="C39" i="17" s="1"/>
  <c r="W47" i="15"/>
  <c r="G38" i="7"/>
  <c r="M108" i="7" s="1"/>
  <c r="F9" i="26"/>
  <c r="AF23" i="15"/>
  <c r="D19" i="9"/>
  <c r="W44" i="15"/>
  <c r="N36" i="15"/>
  <c r="S25" i="11"/>
  <c r="N19" i="10" s="1"/>
  <c r="B165" i="15"/>
  <c r="B164" i="15"/>
  <c r="AS105" i="15"/>
  <c r="W45" i="15"/>
  <c r="AH23" i="11"/>
  <c r="AC23" i="11"/>
  <c r="D27" i="9"/>
  <c r="D28" i="9" s="1"/>
  <c r="Z25" i="11"/>
  <c r="N26" i="10" s="1"/>
  <c r="M82" i="7"/>
  <c r="P16" i="7"/>
  <c r="D54" i="21" s="1"/>
  <c r="M77" i="7"/>
  <c r="AH25" i="11"/>
  <c r="AA25" i="11"/>
  <c r="AB25" i="11"/>
  <c r="F79" i="26"/>
  <c r="U25" i="11"/>
  <c r="N21" i="10" s="1"/>
  <c r="AF25" i="11"/>
  <c r="Y25" i="11"/>
  <c r="N25" i="10" s="1"/>
  <c r="F99" i="11"/>
  <c r="F100" i="11" s="1"/>
  <c r="C106" i="12"/>
  <c r="N120" i="12" s="1"/>
  <c r="N121" i="12" s="1"/>
  <c r="AC25" i="11"/>
  <c r="AG25" i="11"/>
  <c r="W25" i="11"/>
  <c r="N23" i="10" s="1"/>
  <c r="V25" i="11"/>
  <c r="N22" i="10" s="1"/>
  <c r="AJ25" i="11"/>
  <c r="Q25" i="11"/>
  <c r="N17" i="10" s="1"/>
  <c r="T25" i="11"/>
  <c r="N20" i="10" s="1"/>
  <c r="AE25" i="11"/>
  <c r="R25" i="11"/>
  <c r="N18" i="10" s="1"/>
  <c r="X25" i="11"/>
  <c r="N24" i="10" s="1"/>
  <c r="AF23" i="11"/>
  <c r="AJ23" i="11"/>
  <c r="Y31" i="11"/>
  <c r="Y63" i="11" s="1"/>
  <c r="AA23" i="11"/>
  <c r="AB23" i="11"/>
  <c r="AD20" i="11"/>
  <c r="AD23" i="11"/>
  <c r="AG23" i="11"/>
  <c r="AI23" i="11"/>
  <c r="D58" i="27" l="1"/>
  <c r="AH50" i="15" s="1"/>
  <c r="AK50" i="15" s="1"/>
  <c r="AL50" i="15" s="1"/>
  <c r="E57" i="15"/>
  <c r="D69" i="27" s="1"/>
  <c r="D65" i="27"/>
  <c r="L88" i="11"/>
  <c r="L93" i="11" s="1" a="1"/>
  <c r="L93" i="11" s="1"/>
  <c r="L17" i="11" s="1"/>
  <c r="L61" i="11" s="1"/>
  <c r="V91" i="11"/>
  <c r="V188" i="7"/>
  <c r="Q48" i="18" s="1"/>
  <c r="F90" i="11"/>
  <c r="R31" i="11"/>
  <c r="R63" i="11" s="1"/>
  <c r="Z103" i="11"/>
  <c r="Z110" i="11"/>
  <c r="R103" i="11"/>
  <c r="S110" i="11"/>
  <c r="AJ110" i="11"/>
  <c r="AE110" i="11"/>
  <c r="P88" i="11"/>
  <c r="P89" i="11" s="1"/>
  <c r="N88" i="11"/>
  <c r="N93" i="11" s="1" a="1"/>
  <c r="N93" i="11" s="1"/>
  <c r="N17" i="11" s="1"/>
  <c r="N61" i="11" s="1"/>
  <c r="M88" i="11"/>
  <c r="W93" i="11" s="1" a="1"/>
  <c r="W93" i="11" s="1"/>
  <c r="W17" i="11" s="1"/>
  <c r="W61" i="11" s="1"/>
  <c r="O88" i="11"/>
  <c r="O89" i="11" s="1"/>
  <c r="AA110" i="11"/>
  <c r="K88" i="11"/>
  <c r="K93" i="11" s="1" a="1"/>
  <c r="K93" i="11" s="1"/>
  <c r="K17" i="11" s="1"/>
  <c r="K61" i="11" s="1"/>
  <c r="I88" i="11"/>
  <c r="I89" i="11" s="1"/>
  <c r="H93" i="11" a="1"/>
  <c r="H93" i="11" s="1"/>
  <c r="H17" i="11" s="1"/>
  <c r="H61" i="11" s="1"/>
  <c r="AC110" i="11"/>
  <c r="X31" i="11"/>
  <c r="X63" i="11" s="1"/>
  <c r="AI110" i="11"/>
  <c r="AG103" i="11"/>
  <c r="AH31" i="11"/>
  <c r="AH63" i="11" s="1"/>
  <c r="W31" i="11"/>
  <c r="W63" i="11" s="1"/>
  <c r="AI103" i="11"/>
  <c r="W103" i="11"/>
  <c r="AJ103" i="11"/>
  <c r="T103" i="11"/>
  <c r="AF110" i="11"/>
  <c r="AH103" i="11"/>
  <c r="AA103" i="11"/>
  <c r="AF103" i="11"/>
  <c r="U110" i="11"/>
  <c r="AC103" i="11"/>
  <c r="X103" i="11"/>
  <c r="Y103" i="11"/>
  <c r="V110" i="11"/>
  <c r="AI27" i="11"/>
  <c r="AE103" i="11"/>
  <c r="U103" i="11"/>
  <c r="N74" i="26"/>
  <c r="O74" i="26"/>
  <c r="AD103" i="11"/>
  <c r="AD31" i="11"/>
  <c r="AD63" i="11" s="1"/>
  <c r="AG110" i="11"/>
  <c r="Q110" i="11"/>
  <c r="Q103" i="11"/>
  <c r="V103" i="11"/>
  <c r="AG31" i="11"/>
  <c r="AG63" i="11" s="1"/>
  <c r="AB103" i="11"/>
  <c r="T110" i="11"/>
  <c r="S103" i="11"/>
  <c r="AB31" i="11"/>
  <c r="AB63" i="11" s="1"/>
  <c r="Q93" i="11" a="1"/>
  <c r="Q93" i="11" s="1"/>
  <c r="Q17" i="11" s="1"/>
  <c r="Q61" i="11" s="1"/>
  <c r="G61" i="11"/>
  <c r="AE23" i="11"/>
  <c r="R61" i="11"/>
  <c r="D59" i="15"/>
  <c r="D60" i="15" s="1"/>
  <c r="J93" i="11" a="1"/>
  <c r="J93" i="11" s="1"/>
  <c r="J17" i="11" s="1"/>
  <c r="J61" i="11" s="1"/>
  <c r="T93" i="11" a="1"/>
  <c r="T93" i="11" s="1"/>
  <c r="T17" i="11" s="1"/>
  <c r="T61" i="11" s="1"/>
  <c r="AE89" i="11"/>
  <c r="G37" i="7"/>
  <c r="D13" i="9" s="1"/>
  <c r="D14" i="9" s="1"/>
  <c r="C50" i="15"/>
  <c r="F50" i="15" s="1"/>
  <c r="G50" i="15" s="1"/>
  <c r="AB91" i="11"/>
  <c r="G63" i="15"/>
  <c r="G67" i="15" s="1"/>
  <c r="C52" i="15"/>
  <c r="F52" i="15" s="1"/>
  <c r="G52" i="15" s="1"/>
  <c r="J89" i="11"/>
  <c r="C51" i="15"/>
  <c r="F51" i="15" s="1"/>
  <c r="G51" i="15" s="1"/>
  <c r="T89" i="11"/>
  <c r="M91" i="11"/>
  <c r="Z91" i="11"/>
  <c r="L91" i="11"/>
  <c r="J91" i="11"/>
  <c r="V89" i="11"/>
  <c r="W89" i="11"/>
  <c r="R89" i="11"/>
  <c r="G89" i="11"/>
  <c r="P91" i="11"/>
  <c r="T91" i="11"/>
  <c r="AJ89" i="11"/>
  <c r="AC89" i="11"/>
  <c r="AI91" i="11"/>
  <c r="Z89" i="11"/>
  <c r="H91" i="11"/>
  <c r="N91" i="11"/>
  <c r="AA91" i="11"/>
  <c r="AG89" i="11"/>
  <c r="Y89" i="11"/>
  <c r="AH89" i="11"/>
  <c r="K91" i="11"/>
  <c r="Q91" i="11"/>
  <c r="L54" i="21"/>
  <c r="L55" i="21" s="1"/>
  <c r="AC91" i="11"/>
  <c r="AJ91" i="11"/>
  <c r="I91" i="11"/>
  <c r="AE91" i="11"/>
  <c r="U91" i="11"/>
  <c r="N79" i="15"/>
  <c r="E20" i="27"/>
  <c r="Q89" i="11"/>
  <c r="AD89" i="11"/>
  <c r="H89" i="11"/>
  <c r="U89" i="11"/>
  <c r="AD91" i="11"/>
  <c r="B167" i="15"/>
  <c r="B168" i="15"/>
  <c r="B169" i="15" s="1"/>
  <c r="AA89" i="11"/>
  <c r="AI89" i="11"/>
  <c r="AB89" i="11"/>
  <c r="X89" i="11"/>
  <c r="O91" i="11"/>
  <c r="S89" i="11"/>
  <c r="Z45" i="15"/>
  <c r="AH91" i="11"/>
  <c r="AG91" i="11"/>
  <c r="X91" i="11"/>
  <c r="G91" i="11"/>
  <c r="AF89" i="11"/>
  <c r="Z44" i="15"/>
  <c r="N46" i="15"/>
  <c r="G43" i="27"/>
  <c r="Z47" i="15"/>
  <c r="W48" i="15"/>
  <c r="Z48" i="15" s="1"/>
  <c r="S91" i="11"/>
  <c r="R91" i="11"/>
  <c r="Y91" i="11"/>
  <c r="AF91" i="11"/>
  <c r="W91" i="11"/>
  <c r="C110" i="12"/>
  <c r="D110" i="12" s="1"/>
  <c r="D120" i="12" s="1"/>
  <c r="F31" i="7"/>
  <c r="F34" i="7" s="1"/>
  <c r="AE134" i="11"/>
  <c r="AF134" i="11"/>
  <c r="AD134" i="11"/>
  <c r="AH134" i="11"/>
  <c r="AJ134" i="11"/>
  <c r="AC134" i="11"/>
  <c r="AG134" i="11"/>
  <c r="AI134" i="11"/>
  <c r="AA134" i="11"/>
  <c r="AB134" i="11"/>
  <c r="G31" i="7"/>
  <c r="G34" i="7" s="1"/>
  <c r="F109" i="11"/>
  <c r="F111" i="11" s="1"/>
  <c r="G108" i="11" s="1"/>
  <c r="W46" i="15" l="1"/>
  <c r="Z46" i="15" s="1"/>
  <c r="D66" i="27"/>
  <c r="D67" i="27" s="1"/>
  <c r="D61" i="15" s="1"/>
  <c r="D50" i="15"/>
  <c r="E59" i="15"/>
  <c r="L89" i="11"/>
  <c r="V93" i="11" a="1"/>
  <c r="V93" i="11" s="1"/>
  <c r="V17" i="11" s="1"/>
  <c r="V61" i="11" s="1"/>
  <c r="S93" i="11" a="1"/>
  <c r="S93" i="11" s="1"/>
  <c r="S17" i="11" s="1"/>
  <c r="S61" i="11" s="1"/>
  <c r="Y93" i="11" a="1"/>
  <c r="Y93" i="11" s="1"/>
  <c r="Y17" i="11" s="1"/>
  <c r="Y61" i="11" s="1"/>
  <c r="K89" i="11"/>
  <c r="Z93" i="11" a="1"/>
  <c r="Z93" i="11" s="1"/>
  <c r="Z17" i="11" s="1"/>
  <c r="Z61" i="11" s="1"/>
  <c r="V189" i="7"/>
  <c r="D29" i="9" s="1"/>
  <c r="P93" i="11" a="1"/>
  <c r="P93" i="11" s="1"/>
  <c r="P17" i="11" s="1"/>
  <c r="P61" i="11" s="1"/>
  <c r="I93" i="11" a="1"/>
  <c r="I93" i="11" s="1"/>
  <c r="I17" i="11" s="1"/>
  <c r="I61" i="11" s="1"/>
  <c r="O93" i="11" a="1"/>
  <c r="O93" i="11" s="1"/>
  <c r="O17" i="11" s="1"/>
  <c r="O61" i="11" s="1"/>
  <c r="X93" i="11" a="1"/>
  <c r="X93" i="11" s="1"/>
  <c r="X17" i="11" s="1"/>
  <c r="X61" i="11" s="1"/>
  <c r="N89" i="11"/>
  <c r="F88" i="11"/>
  <c r="M89" i="11"/>
  <c r="M93" i="11" a="1"/>
  <c r="M93" i="11" s="1"/>
  <c r="M17" i="11" s="1"/>
  <c r="M61" i="11" s="1"/>
  <c r="U93" i="11" a="1"/>
  <c r="U93" i="11" s="1"/>
  <c r="U17" i="11" s="1"/>
  <c r="U61" i="11" s="1"/>
  <c r="G53" i="15"/>
  <c r="G66" i="15" s="1"/>
  <c r="G68" i="15" s="1"/>
  <c r="G69" i="15" s="1"/>
  <c r="F35" i="7"/>
  <c r="F35" i="11"/>
  <c r="F37" i="11" s="1"/>
  <c r="F48" i="11" s="1"/>
  <c r="C119" i="11"/>
  <c r="F22" i="19"/>
  <c r="G39" i="7"/>
  <c r="C117" i="11"/>
  <c r="C120" i="12"/>
  <c r="C121" i="12" s="1"/>
  <c r="F91" i="11"/>
  <c r="D45" i="17" s="1"/>
  <c r="G17" i="7" s="1"/>
  <c r="B180" i="15"/>
  <c r="B171" i="15"/>
  <c r="E60" i="15"/>
  <c r="T46" i="15"/>
  <c r="F48" i="27" s="1"/>
  <c r="AV107" i="15"/>
  <c r="X47" i="15"/>
  <c r="G49" i="27" s="1"/>
  <c r="X44" i="15"/>
  <c r="D49" i="27" s="1"/>
  <c r="X46" i="15"/>
  <c r="X39" i="15"/>
  <c r="X48" i="15"/>
  <c r="H49" i="27" s="1"/>
  <c r="Y48" i="15" s="1"/>
  <c r="X45" i="15"/>
  <c r="E49" i="27" s="1"/>
  <c r="Z56" i="15"/>
  <c r="Z61" i="15"/>
  <c r="E22" i="27"/>
  <c r="N41" i="15"/>
  <c r="O44" i="15" l="1"/>
  <c r="D42" i="27" s="1"/>
  <c r="O45" i="15"/>
  <c r="E42" i="27" s="1"/>
  <c r="O47" i="15"/>
  <c r="G42" i="27" s="1"/>
  <c r="O48" i="15"/>
  <c r="H42" i="27" s="1"/>
  <c r="O46" i="15"/>
  <c r="K52" i="15"/>
  <c r="L52" i="15" s="1"/>
  <c r="L63" i="15"/>
  <c r="K51" i="15"/>
  <c r="L51" i="15" s="1"/>
  <c r="K50" i="15"/>
  <c r="L50" i="15" s="1"/>
  <c r="M104" i="11"/>
  <c r="M27" i="11" s="1"/>
  <c r="H105" i="11"/>
  <c r="H110" i="11" s="1"/>
  <c r="P105" i="11"/>
  <c r="P110" i="11" s="1"/>
  <c r="K105" i="11"/>
  <c r="K31" i="11" s="1"/>
  <c r="K63" i="11" s="1"/>
  <c r="V191" i="7"/>
  <c r="B54" i="17" s="1"/>
  <c r="Q49" i="18"/>
  <c r="P104" i="11"/>
  <c r="P27" i="11" s="1"/>
  <c r="N105" i="11"/>
  <c r="N31" i="11" s="1"/>
  <c r="N63" i="11" s="1"/>
  <c r="N104" i="11"/>
  <c r="N27" i="11" s="1"/>
  <c r="O105" i="11"/>
  <c r="O110" i="11" s="1"/>
  <c r="L104" i="11"/>
  <c r="L27" i="11" s="1"/>
  <c r="K104" i="11"/>
  <c r="K27" i="11" s="1"/>
  <c r="U195" i="7"/>
  <c r="P55" i="18" s="1"/>
  <c r="J104" i="11"/>
  <c r="L105" i="11"/>
  <c r="L110" i="11" s="1"/>
  <c r="I104" i="11"/>
  <c r="I27" i="11" s="1"/>
  <c r="H104" i="11"/>
  <c r="H27" i="11" s="1"/>
  <c r="I105" i="11"/>
  <c r="I31" i="11" s="1"/>
  <c r="I63" i="11" s="1"/>
  <c r="O104" i="11"/>
  <c r="O27" i="11" s="1"/>
  <c r="G105" i="11"/>
  <c r="G110" i="11" s="1"/>
  <c r="G111" i="11" s="1"/>
  <c r="G28" i="11" s="1"/>
  <c r="M105" i="11"/>
  <c r="M31" i="11" s="1"/>
  <c r="M63" i="11" s="1"/>
  <c r="J105" i="11"/>
  <c r="J31" i="11" s="1"/>
  <c r="J63" i="11" s="1"/>
  <c r="G104" i="11"/>
  <c r="G27" i="11" s="1"/>
  <c r="F89" i="11"/>
  <c r="D44" i="17" s="1"/>
  <c r="D46" i="17" s="1"/>
  <c r="D48" i="17" s="1"/>
  <c r="G64" i="15"/>
  <c r="G36" i="7"/>
  <c r="F36" i="7" s="1"/>
  <c r="C121" i="11"/>
  <c r="E118" i="11" s="1"/>
  <c r="D28" i="17"/>
  <c r="AG33" i="15" s="1"/>
  <c r="AG37" i="15" s="1"/>
  <c r="E38" i="17"/>
  <c r="D37" i="17" s="1"/>
  <c r="AF24" i="15"/>
  <c r="AF78" i="15" s="1"/>
  <c r="E10" i="27"/>
  <c r="AF41" i="15"/>
  <c r="N40" i="15"/>
  <c r="N58" i="15"/>
  <c r="W34" i="15"/>
  <c r="E11" i="27"/>
  <c r="F49" i="27"/>
  <c r="Y46" i="15" s="1"/>
  <c r="L44" i="26" s="1"/>
  <c r="Y44" i="15"/>
  <c r="L42" i="26" s="1"/>
  <c r="X56" i="15"/>
  <c r="Y47" i="15"/>
  <c r="L45" i="26" s="1"/>
  <c r="AT57" i="15"/>
  <c r="E12" i="27"/>
  <c r="Y51" i="15"/>
  <c r="Y52" i="15"/>
  <c r="W71" i="26"/>
  <c r="E73" i="27"/>
  <c r="Y63" i="15"/>
  <c r="H49" i="26"/>
  <c r="Y45" i="15"/>
  <c r="L43" i="26" s="1"/>
  <c r="B188" i="15"/>
  <c r="B194" i="15" s="1"/>
  <c r="B195" i="15" s="1"/>
  <c r="B189" i="15"/>
  <c r="B192" i="15"/>
  <c r="O239" i="15"/>
  <c r="O243" i="15"/>
  <c r="O235" i="15"/>
  <c r="H70" i="26"/>
  <c r="O244" i="15"/>
  <c r="O241" i="15"/>
  <c r="O231" i="15"/>
  <c r="H68" i="26"/>
  <c r="O236" i="15"/>
  <c r="O234" i="15"/>
  <c r="E61" i="15"/>
  <c r="D70" i="27" s="1"/>
  <c r="O237" i="15"/>
  <c r="O240" i="15"/>
  <c r="O224" i="15"/>
  <c r="O222" i="15"/>
  <c r="O226" i="15"/>
  <c r="O227" i="15"/>
  <c r="D219" i="15"/>
  <c r="D64" i="27"/>
  <c r="O221" i="15"/>
  <c r="O230" i="15"/>
  <c r="O223" i="15"/>
  <c r="I83" i="26"/>
  <c r="O233" i="15"/>
  <c r="O229" i="15"/>
  <c r="O228" i="15"/>
  <c r="O238" i="15"/>
  <c r="O232" i="15"/>
  <c r="O225" i="15"/>
  <c r="O242" i="15"/>
  <c r="D51" i="15"/>
  <c r="D52" i="15"/>
  <c r="I63" i="15"/>
  <c r="K6" i="10"/>
  <c r="L6" i="10" s="1"/>
  <c r="F66" i="11"/>
  <c r="D75" i="11" s="1"/>
  <c r="H45" i="26" l="1"/>
  <c r="N57" i="15"/>
  <c r="E5" i="27"/>
  <c r="F42" i="27"/>
  <c r="M7" i="26"/>
  <c r="L53" i="15"/>
  <c r="L64" i="15" s="1"/>
  <c r="L66" i="15"/>
  <c r="L67" i="15"/>
  <c r="P31" i="11"/>
  <c r="P63" i="11" s="1"/>
  <c r="M103" i="11"/>
  <c r="J110" i="11"/>
  <c r="H103" i="11"/>
  <c r="H31" i="11"/>
  <c r="H63" i="11" s="1"/>
  <c r="G31" i="11"/>
  <c r="G63" i="11" s="1"/>
  <c r="K110" i="11"/>
  <c r="K103" i="11"/>
  <c r="I110" i="11"/>
  <c r="H108" i="11"/>
  <c r="H111" i="11" s="1"/>
  <c r="I108" i="11" s="1"/>
  <c r="N103" i="11"/>
  <c r="N110" i="11"/>
  <c r="D26" i="9"/>
  <c r="Q51" i="18"/>
  <c r="C72" i="11"/>
  <c r="E72" i="11" s="1"/>
  <c r="V195" i="7"/>
  <c r="Q55" i="18" s="1"/>
  <c r="C71" i="11"/>
  <c r="E71" i="11" s="1"/>
  <c r="E31" i="19" s="1"/>
  <c r="G45" i="7"/>
  <c r="L103" i="11"/>
  <c r="J103" i="11"/>
  <c r="B53" i="11"/>
  <c r="B43" i="9"/>
  <c r="O103" i="11"/>
  <c r="P103" i="11"/>
  <c r="D74" i="11"/>
  <c r="F74" i="11" s="1"/>
  <c r="E38" i="19" s="1"/>
  <c r="O31" i="11"/>
  <c r="O63" i="11" s="1"/>
  <c r="B55" i="17"/>
  <c r="B44" i="9"/>
  <c r="I103" i="11"/>
  <c r="J27" i="11"/>
  <c r="G103" i="11"/>
  <c r="E7" i="10" s="1"/>
  <c r="L31" i="11"/>
  <c r="L63" i="11" s="1"/>
  <c r="M110" i="11"/>
  <c r="AF25" i="15"/>
  <c r="AF26" i="15" s="1"/>
  <c r="AF29" i="15"/>
  <c r="AF16" i="15"/>
  <c r="AF17" i="15" s="1"/>
  <c r="I18" i="26" s="1"/>
  <c r="I27" i="26" s="1"/>
  <c r="D119" i="11"/>
  <c r="E119" i="11" s="1"/>
  <c r="E127" i="11" s="1"/>
  <c r="D117" i="11"/>
  <c r="E117" i="11" s="1"/>
  <c r="Z125" i="11" s="1"/>
  <c r="G16" i="7"/>
  <c r="P143" i="7"/>
  <c r="Q7" i="11" s="1"/>
  <c r="Q56" i="11" s="1"/>
  <c r="D38" i="17"/>
  <c r="D39" i="17" s="1"/>
  <c r="E39" i="17" s="1"/>
  <c r="B193" i="15"/>
  <c r="AG38" i="15"/>
  <c r="AF38" i="15" s="1"/>
  <c r="AG32" i="15"/>
  <c r="AF32" i="15" s="1"/>
  <c r="AA227" i="15"/>
  <c r="U76" i="26"/>
  <c r="H59" i="27"/>
  <c r="AA52" i="15"/>
  <c r="H52" i="15"/>
  <c r="I52" i="15" s="1"/>
  <c r="F76" i="26"/>
  <c r="M76" i="26" s="1"/>
  <c r="T76" i="26" s="1"/>
  <c r="AA233" i="15"/>
  <c r="AA226" i="15"/>
  <c r="AA236" i="15"/>
  <c r="AA239" i="15"/>
  <c r="AA51" i="15"/>
  <c r="G59" i="27"/>
  <c r="U75" i="26"/>
  <c r="AA229" i="15"/>
  <c r="AA243" i="15"/>
  <c r="H51" i="15"/>
  <c r="I51" i="15" s="1"/>
  <c r="F75" i="26"/>
  <c r="M75" i="26" s="1"/>
  <c r="T75" i="26" s="1"/>
  <c r="D72" i="15"/>
  <c r="I89" i="26" s="1"/>
  <c r="AA242" i="15"/>
  <c r="AA223" i="15"/>
  <c r="F74" i="26"/>
  <c r="M74" i="26" s="1"/>
  <c r="T74" i="26" s="1"/>
  <c r="H50" i="15"/>
  <c r="I50" i="15" s="1"/>
  <c r="AA231" i="15"/>
  <c r="AA234" i="15"/>
  <c r="AA222" i="15"/>
  <c r="AA225" i="15"/>
  <c r="AA230" i="15"/>
  <c r="AA224" i="15"/>
  <c r="AA241" i="15"/>
  <c r="E240" i="15"/>
  <c r="E243" i="15"/>
  <c r="E236" i="15"/>
  <c r="E223" i="15"/>
  <c r="E228" i="15"/>
  <c r="E222" i="15"/>
  <c r="E226" i="15"/>
  <c r="E242" i="15"/>
  <c r="E225" i="15"/>
  <c r="E241" i="15"/>
  <c r="E239" i="15"/>
  <c r="E244" i="15"/>
  <c r="E231" i="15"/>
  <c r="E224" i="15"/>
  <c r="E221" i="15"/>
  <c r="AD221" i="15" s="1"/>
  <c r="E238" i="15"/>
  <c r="E229" i="15"/>
  <c r="E235" i="15"/>
  <c r="E234" i="15"/>
  <c r="E233" i="15"/>
  <c r="E232" i="15"/>
  <c r="E237" i="15"/>
  <c r="E230" i="15"/>
  <c r="E227" i="15"/>
  <c r="Y67" i="15"/>
  <c r="W79" i="26"/>
  <c r="AA232" i="15"/>
  <c r="AA221" i="15"/>
  <c r="AB221" i="15" s="1"/>
  <c r="X221" i="15"/>
  <c r="X222" i="15" s="1"/>
  <c r="X223" i="15" s="1"/>
  <c r="X224" i="15" s="1"/>
  <c r="X225" i="15" s="1"/>
  <c r="X226" i="15" s="1"/>
  <c r="X227" i="15" s="1"/>
  <c r="X228" i="15" s="1"/>
  <c r="X229" i="15" s="1"/>
  <c r="X230" i="15" s="1"/>
  <c r="X231" i="15" s="1"/>
  <c r="X232" i="15" s="1"/>
  <c r="X233" i="15" s="1"/>
  <c r="X234" i="15" s="1"/>
  <c r="X235" i="15" s="1"/>
  <c r="X236" i="15" s="1"/>
  <c r="X237" i="15" s="1"/>
  <c r="X238" i="15" s="1"/>
  <c r="X239" i="15" s="1"/>
  <c r="X240" i="15" s="1"/>
  <c r="X241" i="15" s="1"/>
  <c r="X242" i="15" s="1"/>
  <c r="X243" i="15" s="1"/>
  <c r="X244" i="15" s="1"/>
  <c r="AA240" i="15"/>
  <c r="AA244" i="15"/>
  <c r="AT107" i="15"/>
  <c r="N39" i="15"/>
  <c r="AA238" i="15"/>
  <c r="AA237" i="15"/>
  <c r="AA228" i="15"/>
  <c r="D63" i="27"/>
  <c r="D75" i="27" s="1"/>
  <c r="D76" i="27" s="1"/>
  <c r="I67" i="15"/>
  <c r="AA235" i="15"/>
  <c r="D52" i="27"/>
  <c r="Y50" i="15" s="1"/>
  <c r="V74" i="26" s="1"/>
  <c r="AG35" i="15"/>
  <c r="AH45" i="15" s="1"/>
  <c r="AJ45" i="15" s="1"/>
  <c r="AG34" i="15"/>
  <c r="AF34" i="15" s="1"/>
  <c r="AF33" i="15"/>
  <c r="AF37" i="15"/>
  <c r="AH47" i="15"/>
  <c r="AJ47" i="15" s="1"/>
  <c r="N126" i="11"/>
  <c r="AG126" i="11"/>
  <c r="W126" i="11"/>
  <c r="U126" i="11"/>
  <c r="K126" i="11"/>
  <c r="X126" i="11"/>
  <c r="Q126" i="11"/>
  <c r="O126" i="11"/>
  <c r="AE126" i="11"/>
  <c r="AB126" i="11"/>
  <c r="Z126" i="11"/>
  <c r="AI126" i="11"/>
  <c r="T126" i="11"/>
  <c r="H126" i="11"/>
  <c r="J126" i="11"/>
  <c r="Y126" i="11"/>
  <c r="AF126" i="11"/>
  <c r="P126" i="11"/>
  <c r="AD126" i="11"/>
  <c r="G126" i="11"/>
  <c r="AC126" i="11"/>
  <c r="AA126" i="11"/>
  <c r="AJ126" i="11"/>
  <c r="L126" i="11"/>
  <c r="S126" i="11"/>
  <c r="AH126" i="11"/>
  <c r="I126" i="11"/>
  <c r="V126" i="11"/>
  <c r="R126" i="11"/>
  <c r="M126" i="11"/>
  <c r="F75" i="11"/>
  <c r="E35" i="19" s="1"/>
  <c r="F35" i="19"/>
  <c r="G62" i="11"/>
  <c r="D51" i="27" l="1"/>
  <c r="F43" i="27"/>
  <c r="H44" i="26" s="1"/>
  <c r="N56" i="15"/>
  <c r="D43" i="27"/>
  <c r="H42" i="26" s="1"/>
  <c r="E43" i="27"/>
  <c r="H43" i="26" s="1"/>
  <c r="D53" i="27"/>
  <c r="H43" i="27"/>
  <c r="AF80" i="15"/>
  <c r="AR40" i="15"/>
  <c r="D59" i="27"/>
  <c r="U74" i="26"/>
  <c r="AA50" i="15"/>
  <c r="AB50" i="15" s="1"/>
  <c r="W74" i="26" s="1"/>
  <c r="AR50" i="15"/>
  <c r="AS50" i="15" s="1"/>
  <c r="AT50" i="15" s="1"/>
  <c r="L68" i="15"/>
  <c r="L69" i="15" s="1"/>
  <c r="AC236" i="15"/>
  <c r="AD236" i="15" s="1"/>
  <c r="D77" i="11"/>
  <c r="F37" i="19" s="1"/>
  <c r="I111" i="11"/>
  <c r="I28" i="11" s="1"/>
  <c r="H28" i="11"/>
  <c r="H62" i="11" s="1"/>
  <c r="X130" i="7"/>
  <c r="X133" i="7" s="1"/>
  <c r="F31" i="19"/>
  <c r="F38" i="19"/>
  <c r="AC231" i="15"/>
  <c r="AD231" i="15" s="1"/>
  <c r="M125" i="11"/>
  <c r="M132" i="11" s="1"/>
  <c r="M134" i="11" s="1"/>
  <c r="AC244" i="15"/>
  <c r="AD244" i="15" s="1"/>
  <c r="I20" i="26"/>
  <c r="I28" i="26" s="1"/>
  <c r="H40" i="26" s="1"/>
  <c r="Y125" i="11"/>
  <c r="Y132" i="11" s="1"/>
  <c r="Y40" i="11" s="1"/>
  <c r="AC224" i="15"/>
  <c r="AD224" i="15" s="1"/>
  <c r="AC241" i="15"/>
  <c r="AD241" i="15" s="1"/>
  <c r="AC243" i="15"/>
  <c r="AD243" i="15" s="1"/>
  <c r="H7" i="11"/>
  <c r="H56" i="11" s="1"/>
  <c r="AJ125" i="11"/>
  <c r="L7" i="11"/>
  <c r="L56" i="11" s="1"/>
  <c r="O7" i="11"/>
  <c r="O56" i="11" s="1"/>
  <c r="V125" i="11"/>
  <c r="V132" i="11" s="1"/>
  <c r="V40" i="11" s="1"/>
  <c r="AA125" i="11"/>
  <c r="M6" i="26"/>
  <c r="I125" i="11"/>
  <c r="I132" i="11" s="1"/>
  <c r="I40" i="11" s="1"/>
  <c r="W125" i="11"/>
  <c r="W132" i="11" s="1"/>
  <c r="W134" i="11" s="1"/>
  <c r="AH125" i="11"/>
  <c r="G7" i="11"/>
  <c r="G56" i="11" s="1"/>
  <c r="I7" i="11"/>
  <c r="I56" i="11" s="1"/>
  <c r="Z7" i="11"/>
  <c r="Z56" i="11" s="1"/>
  <c r="J125" i="11"/>
  <c r="J132" i="11" s="1"/>
  <c r="J134" i="11" s="1"/>
  <c r="K125" i="11"/>
  <c r="K132" i="11" s="1"/>
  <c r="K40" i="11" s="1"/>
  <c r="AD125" i="11"/>
  <c r="U125" i="11"/>
  <c r="U132" i="11" s="1"/>
  <c r="T125" i="11"/>
  <c r="T132" i="11" s="1"/>
  <c r="X125" i="11"/>
  <c r="X132" i="11" s="1"/>
  <c r="X40" i="11" s="1"/>
  <c r="AF125" i="11"/>
  <c r="O125" i="11"/>
  <c r="O132" i="11" s="1"/>
  <c r="O134" i="11" s="1"/>
  <c r="G125" i="11"/>
  <c r="AC125" i="11"/>
  <c r="D121" i="11"/>
  <c r="AG125" i="11"/>
  <c r="L125" i="11"/>
  <c r="L132" i="11" s="1"/>
  <c r="L40" i="11" s="1"/>
  <c r="S125" i="11"/>
  <c r="S132" i="11" s="1"/>
  <c r="N125" i="11"/>
  <c r="N132" i="11" s="1"/>
  <c r="P125" i="11"/>
  <c r="P132" i="11" s="1"/>
  <c r="P40" i="11" s="1"/>
  <c r="R125" i="11"/>
  <c r="R132" i="11" s="1"/>
  <c r="E121" i="11"/>
  <c r="AE125" i="11"/>
  <c r="AB125" i="11"/>
  <c r="H125" i="11"/>
  <c r="H132" i="11" s="1"/>
  <c r="H40" i="11" s="1"/>
  <c r="Q125" i="11"/>
  <c r="Q132" i="11" s="1"/>
  <c r="AI125" i="11"/>
  <c r="N7" i="11"/>
  <c r="N56" i="11" s="1"/>
  <c r="Y7" i="11"/>
  <c r="Y56" i="11" s="1"/>
  <c r="J7" i="11"/>
  <c r="J56" i="11" s="1"/>
  <c r="M7" i="11"/>
  <c r="M56" i="11" s="1"/>
  <c r="V7" i="11"/>
  <c r="V56" i="11" s="1"/>
  <c r="T7" i="11"/>
  <c r="T56" i="11" s="1"/>
  <c r="R7" i="11"/>
  <c r="R56" i="11" s="1"/>
  <c r="P7" i="11"/>
  <c r="P56" i="11" s="1"/>
  <c r="S7" i="11"/>
  <c r="S56" i="11" s="1"/>
  <c r="K7" i="11"/>
  <c r="K56" i="11" s="1"/>
  <c r="X7" i="11"/>
  <c r="X56" i="11" s="1"/>
  <c r="W7" i="11"/>
  <c r="W56" i="11" s="1"/>
  <c r="U7" i="11"/>
  <c r="U56" i="11" s="1"/>
  <c r="AC227" i="15"/>
  <c r="AD227" i="15" s="1"/>
  <c r="AH44" i="15"/>
  <c r="AJ44" i="15" s="1"/>
  <c r="AR44" i="15" s="1"/>
  <c r="AV44" i="15" s="1"/>
  <c r="AC228" i="15"/>
  <c r="AD228" i="15" s="1"/>
  <c r="AG36" i="15"/>
  <c r="AF36" i="15" s="1"/>
  <c r="AC223" i="15"/>
  <c r="AD223" i="15" s="1"/>
  <c r="AC235" i="15"/>
  <c r="AD235" i="15" s="1"/>
  <c r="AF35" i="15"/>
  <c r="AR45" i="15" s="1"/>
  <c r="AV45" i="15" s="1"/>
  <c r="AC225" i="15"/>
  <c r="AD225" i="15" s="1"/>
  <c r="I53" i="15"/>
  <c r="I66" i="15" s="1"/>
  <c r="I68" i="15" s="1"/>
  <c r="AC230" i="15"/>
  <c r="AD230" i="15" s="1"/>
  <c r="AC221" i="15"/>
  <c r="AH48" i="15"/>
  <c r="AJ48" i="15" s="1"/>
  <c r="AI48" i="15" s="1"/>
  <c r="N59" i="15"/>
  <c r="O57" i="15"/>
  <c r="AB51" i="15"/>
  <c r="W75" i="26" s="1"/>
  <c r="V75" i="26"/>
  <c r="AT56" i="15"/>
  <c r="X55" i="15"/>
  <c r="AC229" i="15"/>
  <c r="AD229" i="15" s="1"/>
  <c r="AC240" i="15"/>
  <c r="AD240" i="15" s="1"/>
  <c r="AC238" i="15"/>
  <c r="AD238" i="15" s="1"/>
  <c r="AC226" i="15"/>
  <c r="AD226" i="15" s="1"/>
  <c r="AB222" i="15"/>
  <c r="AB223" i="15" s="1"/>
  <c r="AB224" i="15" s="1"/>
  <c r="AB225" i="15" s="1"/>
  <c r="AB226" i="15" s="1"/>
  <c r="AB227" i="15" s="1"/>
  <c r="AB228" i="15" s="1"/>
  <c r="AB229" i="15" s="1"/>
  <c r="AB230" i="15" s="1"/>
  <c r="AB231" i="15" s="1"/>
  <c r="AB232" i="15" s="1"/>
  <c r="AB233" i="15" s="1"/>
  <c r="AB234" i="15" s="1"/>
  <c r="AB235" i="15" s="1"/>
  <c r="AB236" i="15" s="1"/>
  <c r="AB237" i="15" s="1"/>
  <c r="AB238" i="15" s="1"/>
  <c r="AB239" i="15" s="1"/>
  <c r="AB240" i="15" s="1"/>
  <c r="AB241" i="15" s="1"/>
  <c r="AB242" i="15" s="1"/>
  <c r="AB243" i="15" s="1"/>
  <c r="AB244" i="15" s="1"/>
  <c r="V76" i="26"/>
  <c r="AB52" i="15"/>
  <c r="W76" i="26" s="1"/>
  <c r="AC242" i="15"/>
  <c r="AD242" i="15" s="1"/>
  <c r="AC237" i="15"/>
  <c r="AD237" i="15" s="1"/>
  <c r="AC222" i="15"/>
  <c r="AD222" i="15" s="1"/>
  <c r="AC232" i="15"/>
  <c r="AD232" i="15" s="1"/>
  <c r="AC233" i="15"/>
  <c r="AD233" i="15" s="1"/>
  <c r="AT108" i="15"/>
  <c r="E19" i="27"/>
  <c r="AC234" i="15"/>
  <c r="AD234" i="15" s="1"/>
  <c r="AC239" i="15"/>
  <c r="AD239" i="15" s="1"/>
  <c r="Z132" i="11"/>
  <c r="Z40" i="11" s="1"/>
  <c r="AI45" i="15"/>
  <c r="AI47" i="15"/>
  <c r="AJ57" i="15"/>
  <c r="AR47" i="15"/>
  <c r="AV47" i="15" s="1"/>
  <c r="E126" i="11"/>
  <c r="AF21" i="15"/>
  <c r="Q63" i="15" l="1"/>
  <c r="Z55" i="15"/>
  <c r="O56" i="15"/>
  <c r="N51" i="15" s="1"/>
  <c r="AV57" i="15"/>
  <c r="AR51" i="15" s="1"/>
  <c r="AS51" i="15" s="1"/>
  <c r="AT51" i="15" s="1"/>
  <c r="AV62" i="15"/>
  <c r="AK57" i="15"/>
  <c r="E69" i="27" s="1"/>
  <c r="F69" i="27" s="1"/>
  <c r="E66" i="27"/>
  <c r="E8" i="10"/>
  <c r="F77" i="11"/>
  <c r="E37" i="19" s="1"/>
  <c r="J108" i="11"/>
  <c r="J111" i="11" s="1"/>
  <c r="K108" i="11" s="1"/>
  <c r="K111" i="11" s="1"/>
  <c r="D49" i="9"/>
  <c r="E125" i="11"/>
  <c r="E128" i="11" s="1"/>
  <c r="F128" i="11" s="1"/>
  <c r="U134" i="11"/>
  <c r="U40" i="11"/>
  <c r="V134" i="11"/>
  <c r="G132" i="11"/>
  <c r="G40" i="11" s="1"/>
  <c r="AR48" i="15"/>
  <c r="AV48" i="15" s="1"/>
  <c r="P134" i="11"/>
  <c r="C69" i="11"/>
  <c r="E69" i="11" s="1"/>
  <c r="E29" i="19" s="1"/>
  <c r="AH46" i="15"/>
  <c r="AJ46" i="15" s="1"/>
  <c r="AI46" i="15" s="1"/>
  <c r="J40" i="11"/>
  <c r="H134" i="11"/>
  <c r="K134" i="11"/>
  <c r="I64" i="15"/>
  <c r="M40" i="11"/>
  <c r="I134" i="11"/>
  <c r="I69" i="15"/>
  <c r="J51" i="15"/>
  <c r="I75" i="26" s="1"/>
  <c r="J50" i="15"/>
  <c r="J66" i="15"/>
  <c r="J77" i="26" s="1"/>
  <c r="J68" i="15"/>
  <c r="J67" i="15"/>
  <c r="J79" i="26" s="1"/>
  <c r="J52" i="15"/>
  <c r="I76" i="26" s="1"/>
  <c r="Z134" i="11"/>
  <c r="O59" i="15"/>
  <c r="N60" i="15"/>
  <c r="AB53" i="15"/>
  <c r="O40" i="11"/>
  <c r="W40" i="11"/>
  <c r="X134" i="11"/>
  <c r="Y134" i="11"/>
  <c r="L134" i="11"/>
  <c r="R40" i="11"/>
  <c r="R134" i="11"/>
  <c r="I62" i="11"/>
  <c r="E9" i="10"/>
  <c r="Q40" i="11"/>
  <c r="Q134" i="11"/>
  <c r="T134" i="11"/>
  <c r="T40" i="11"/>
  <c r="I19" i="26"/>
  <c r="AF30" i="15"/>
  <c r="N134" i="11"/>
  <c r="N40" i="11"/>
  <c r="AI44" i="15"/>
  <c r="AJ56" i="15"/>
  <c r="E65" i="27" s="1"/>
  <c r="F65" i="27" s="1"/>
  <c r="S40" i="11"/>
  <c r="S134" i="11"/>
  <c r="N52" i="15" l="1"/>
  <c r="P52" i="15" s="1"/>
  <c r="N75" i="26"/>
  <c r="G58" i="27"/>
  <c r="AH55" i="15" s="1"/>
  <c r="P51" i="15"/>
  <c r="Z57" i="15"/>
  <c r="H50" i="26" s="1"/>
  <c r="Z71" i="15"/>
  <c r="AV63" i="15"/>
  <c r="AR67" i="15" s="1"/>
  <c r="Q79" i="26" s="1"/>
  <c r="Z79" i="26" s="1"/>
  <c r="B41" i="26"/>
  <c r="AK58" i="15"/>
  <c r="AJ58" i="15" s="1"/>
  <c r="AR52" i="15"/>
  <c r="AS52" i="15" s="1"/>
  <c r="AT52" i="15" s="1"/>
  <c r="AT53" i="15" s="1"/>
  <c r="O52" i="15"/>
  <c r="O51" i="15"/>
  <c r="O50" i="15"/>
  <c r="F66" i="27"/>
  <c r="E67" i="27"/>
  <c r="AJ61" i="15" s="1"/>
  <c r="J28" i="11"/>
  <c r="J62" i="11" s="1"/>
  <c r="G134" i="11"/>
  <c r="X131" i="7"/>
  <c r="F29" i="19"/>
  <c r="AR46" i="15"/>
  <c r="AV46" i="15" s="1"/>
  <c r="O60" i="15"/>
  <c r="J70" i="15"/>
  <c r="J69" i="15"/>
  <c r="J80" i="26"/>
  <c r="I74" i="26"/>
  <c r="J53" i="15"/>
  <c r="I77" i="26" s="1"/>
  <c r="I80" i="26" s="1"/>
  <c r="Y64" i="15"/>
  <c r="W77" i="26"/>
  <c r="W80" i="26" s="1"/>
  <c r="Y66" i="15"/>
  <c r="Y68" i="15" s="1"/>
  <c r="K28" i="11"/>
  <c r="L108" i="11"/>
  <c r="L111" i="11" s="1"/>
  <c r="AV56" i="15"/>
  <c r="X135" i="7" s="1"/>
  <c r="AK56" i="15"/>
  <c r="AJ59" i="15"/>
  <c r="AK59" i="15" s="1"/>
  <c r="AL63" i="15"/>
  <c r="I32" i="26"/>
  <c r="I31" i="26"/>
  <c r="I30" i="26"/>
  <c r="N76" i="26" l="1"/>
  <c r="H58" i="27"/>
  <c r="O76" i="26"/>
  <c r="Q52" i="15"/>
  <c r="O75" i="26"/>
  <c r="Q51" i="15"/>
  <c r="Z72" i="15"/>
  <c r="AV64" i="15"/>
  <c r="F67" i="27"/>
  <c r="N61" i="15"/>
  <c r="O61" i="15" s="1"/>
  <c r="R51" i="15" s="1"/>
  <c r="S51" i="15" s="1"/>
  <c r="AI52" i="15"/>
  <c r="AK52" i="15" s="1"/>
  <c r="AL52" i="15" s="1"/>
  <c r="E68" i="27"/>
  <c r="F68" i="27" s="1"/>
  <c r="E10" i="10"/>
  <c r="AR66" i="15"/>
  <c r="Q77" i="26" s="1"/>
  <c r="AI51" i="15"/>
  <c r="AK51" i="15" s="1"/>
  <c r="AL51" i="15" s="1"/>
  <c r="AJ60" i="15"/>
  <c r="AJ52" i="15" s="1"/>
  <c r="P71" i="26"/>
  <c r="P84" i="26"/>
  <c r="H48" i="26"/>
  <c r="AV58" i="15"/>
  <c r="AV70" i="15"/>
  <c r="P87" i="26" s="1"/>
  <c r="L28" i="11"/>
  <c r="M108" i="11"/>
  <c r="M111" i="11" s="1"/>
  <c r="E11" i="10"/>
  <c r="K62" i="11"/>
  <c r="AK67" i="15"/>
  <c r="Q53" i="15" l="1"/>
  <c r="S63" i="15"/>
  <c r="S67" i="15" s="1"/>
  <c r="AJ50" i="15"/>
  <c r="AJ51" i="15"/>
  <c r="P83" i="26"/>
  <c r="T52" i="15"/>
  <c r="U52" i="15" s="1"/>
  <c r="U63" i="15"/>
  <c r="U67" i="15" s="1"/>
  <c r="AA67" i="15" s="1"/>
  <c r="AB67" i="15" s="1"/>
  <c r="T51" i="15"/>
  <c r="U51" i="15" s="1"/>
  <c r="T50" i="15"/>
  <c r="U50" i="15" s="1"/>
  <c r="E64" i="27"/>
  <c r="F64" i="27" s="1"/>
  <c r="AL53" i="15"/>
  <c r="AL64" i="15" s="1"/>
  <c r="AR68" i="15"/>
  <c r="AR69" i="15" s="1"/>
  <c r="H47" i="26"/>
  <c r="P70" i="26"/>
  <c r="R50" i="15"/>
  <c r="S50" i="15" s="1"/>
  <c r="R52" i="15"/>
  <c r="S52" i="15" s="1"/>
  <c r="Q67" i="15"/>
  <c r="Z77" i="26"/>
  <c r="Q80" i="26"/>
  <c r="Z80" i="26" s="1"/>
  <c r="Z81" i="26" s="1"/>
  <c r="N108" i="11"/>
  <c r="N111" i="11" s="1"/>
  <c r="M28" i="11"/>
  <c r="L62" i="11"/>
  <c r="E12" i="10"/>
  <c r="Q66" i="15" l="1"/>
  <c r="Q68" i="15" s="1"/>
  <c r="Q69" i="15" s="1"/>
  <c r="Q64" i="15"/>
  <c r="AQ63" i="15"/>
  <c r="AP50" i="15"/>
  <c r="AQ50" i="15" s="1"/>
  <c r="AP51" i="15"/>
  <c r="AQ51" i="15" s="1"/>
  <c r="AP52" i="15"/>
  <c r="AQ52" i="15" s="1"/>
  <c r="AK60" i="15"/>
  <c r="AN63" i="15"/>
  <c r="AK61" i="15"/>
  <c r="E63" i="27" s="1"/>
  <c r="F63" i="27" s="1"/>
  <c r="U53" i="15"/>
  <c r="U66" i="15" s="1"/>
  <c r="AK66" i="15"/>
  <c r="AK68" i="15" s="1"/>
  <c r="AV71" i="15"/>
  <c r="P89" i="26" s="1"/>
  <c r="AM50" i="15"/>
  <c r="AN50" i="15" s="1"/>
  <c r="AM52" i="15"/>
  <c r="AN52" i="15" s="1"/>
  <c r="S53" i="15"/>
  <c r="E13" i="10"/>
  <c r="M62" i="11"/>
  <c r="N28" i="11"/>
  <c r="O108" i="11"/>
  <c r="O111" i="11" s="1"/>
  <c r="AN67" i="15" l="1"/>
  <c r="U68" i="15"/>
  <c r="AA68" i="15" s="1"/>
  <c r="AB68" i="15" s="1"/>
  <c r="AA66" i="15"/>
  <c r="AB66" i="15" s="1"/>
  <c r="AQ53" i="15"/>
  <c r="AQ67" i="15"/>
  <c r="AS67" i="15" s="1"/>
  <c r="AT67" i="15" s="1"/>
  <c r="P145" i="7" s="1"/>
  <c r="E70" i="27"/>
  <c r="F70" i="27" s="1"/>
  <c r="U64" i="15"/>
  <c r="E75" i="27"/>
  <c r="E76" i="27" s="1"/>
  <c r="AM51" i="15"/>
  <c r="AN51" i="15" s="1"/>
  <c r="AN53" i="15" s="1"/>
  <c r="AN66" i="15" s="1"/>
  <c r="S66" i="15"/>
  <c r="S68" i="15" s="1"/>
  <c r="S64" i="15"/>
  <c r="E14" i="10"/>
  <c r="N62" i="11"/>
  <c r="O28" i="11"/>
  <c r="P108" i="11"/>
  <c r="P111" i="11" s="1"/>
  <c r="AN68" i="15" l="1"/>
  <c r="AO66" i="15" s="1"/>
  <c r="AQ66" i="15"/>
  <c r="AQ64" i="15"/>
  <c r="F75" i="27"/>
  <c r="AN64" i="15"/>
  <c r="T68" i="15"/>
  <c r="P75" i="26"/>
  <c r="T67" i="15"/>
  <c r="P76" i="26"/>
  <c r="T66" i="15"/>
  <c r="P28" i="11"/>
  <c r="Q108" i="11"/>
  <c r="Q111" i="11" s="1"/>
  <c r="E15" i="10"/>
  <c r="O62" i="11"/>
  <c r="AO50" i="15" l="1"/>
  <c r="AO68" i="15"/>
  <c r="AO67" i="15"/>
  <c r="AO52" i="15"/>
  <c r="AO51" i="15"/>
  <c r="AQ68" i="15"/>
  <c r="AS66" i="15"/>
  <c r="V68" i="15"/>
  <c r="T69" i="15"/>
  <c r="V66" i="15"/>
  <c r="V67" i="15"/>
  <c r="P77" i="26"/>
  <c r="P80" i="26" s="1"/>
  <c r="P74" i="26"/>
  <c r="R108" i="11"/>
  <c r="R111" i="11" s="1"/>
  <c r="Q28" i="11"/>
  <c r="P62" i="11"/>
  <c r="E16" i="10"/>
  <c r="AT66" i="15" l="1"/>
  <c r="P144" i="7" s="1"/>
  <c r="AO53" i="15"/>
  <c r="AQ69" i="15"/>
  <c r="AS68" i="15"/>
  <c r="AT68" i="15" s="1"/>
  <c r="AV67" i="15"/>
  <c r="Y18" i="11" s="1"/>
  <c r="Y19" i="11" s="1"/>
  <c r="AV66" i="15"/>
  <c r="X132" i="7"/>
  <c r="C40" i="17"/>
  <c r="E17" i="10"/>
  <c r="Q62" i="11"/>
  <c r="R28" i="11"/>
  <c r="S108" i="11"/>
  <c r="S111" i="11" s="1"/>
  <c r="D40" i="17" l="1"/>
  <c r="AV68" i="15"/>
  <c r="AV69" i="15" s="1"/>
  <c r="AT69" i="15"/>
  <c r="R8" i="11"/>
  <c r="R11" i="11" s="1"/>
  <c r="D18" i="9"/>
  <c r="X18" i="11"/>
  <c r="X19" i="11" s="1"/>
  <c r="X21" i="11" s="1"/>
  <c r="T18" i="11"/>
  <c r="T19" i="11" s="1"/>
  <c r="D20" i="10" s="1"/>
  <c r="P8" i="11"/>
  <c r="P11" i="11" s="1"/>
  <c r="S18" i="11"/>
  <c r="S19" i="11" s="1"/>
  <c r="S21" i="11" s="1"/>
  <c r="M18" i="11"/>
  <c r="M19" i="11" s="1"/>
  <c r="M20" i="11" s="1"/>
  <c r="H18" i="11"/>
  <c r="H19" i="11" s="1"/>
  <c r="H20" i="11" s="1"/>
  <c r="W8" i="11"/>
  <c r="L8" i="11"/>
  <c r="L11" i="11" s="1"/>
  <c r="Q18" i="11"/>
  <c r="Q19" i="11" s="1"/>
  <c r="Q21" i="11" s="1"/>
  <c r="G8" i="11"/>
  <c r="G11" i="11" s="1"/>
  <c r="M8" i="11"/>
  <c r="S8" i="11"/>
  <c r="S11" i="11" s="1"/>
  <c r="Z143" i="7"/>
  <c r="U23" i="18" s="1"/>
  <c r="V18" i="11"/>
  <c r="V19" i="11" s="1"/>
  <c r="D22" i="10" s="1"/>
  <c r="K8" i="11"/>
  <c r="K11" i="11" s="1"/>
  <c r="Z8" i="11"/>
  <c r="Z11" i="11" s="1"/>
  <c r="I8" i="11"/>
  <c r="I11" i="11" s="1"/>
  <c r="V8" i="11"/>
  <c r="U8" i="11"/>
  <c r="U11" i="11" s="1"/>
  <c r="T8" i="11"/>
  <c r="T11" i="11" s="1"/>
  <c r="D46" i="9"/>
  <c r="H8" i="11"/>
  <c r="H11" i="11" s="1"/>
  <c r="J8" i="11"/>
  <c r="J11" i="11" s="1"/>
  <c r="Q8" i="11"/>
  <c r="Q11" i="11" s="1"/>
  <c r="Y8" i="11"/>
  <c r="Y11" i="11" s="1"/>
  <c r="O8" i="11"/>
  <c r="N8" i="11"/>
  <c r="N11" i="11" s="1"/>
  <c r="X8" i="11"/>
  <c r="O18" i="11"/>
  <c r="O19" i="11" s="1"/>
  <c r="D15" i="10" s="1"/>
  <c r="Q15" i="10" s="1"/>
  <c r="W18" i="11"/>
  <c r="W19" i="11" s="1"/>
  <c r="W20" i="11" s="1"/>
  <c r="L18" i="11"/>
  <c r="L19" i="11" s="1"/>
  <c r="L21" i="11" s="1"/>
  <c r="J18" i="11"/>
  <c r="J19" i="11" s="1"/>
  <c r="D10" i="10" s="1"/>
  <c r="Q10" i="10" s="1"/>
  <c r="U18" i="11"/>
  <c r="U19" i="11" s="1"/>
  <c r="D21" i="10" s="1"/>
  <c r="G18" i="11"/>
  <c r="G19" i="11" s="1"/>
  <c r="G21" i="11" s="1"/>
  <c r="D23" i="9" s="1"/>
  <c r="Z18" i="11"/>
  <c r="Z19" i="11" s="1"/>
  <c r="Z21" i="11" s="1"/>
  <c r="R18" i="11"/>
  <c r="R19" i="11" s="1"/>
  <c r="R20" i="11" s="1"/>
  <c r="P18" i="11"/>
  <c r="P19" i="11" s="1"/>
  <c r="D16" i="10" s="1"/>
  <c r="Q16" i="10" s="1"/>
  <c r="I18" i="11"/>
  <c r="I19" i="11" s="1"/>
  <c r="I21" i="11" s="1"/>
  <c r="N18" i="11"/>
  <c r="N19" i="11" s="1"/>
  <c r="N20" i="11" s="1"/>
  <c r="K18" i="11"/>
  <c r="K19" i="11" s="1"/>
  <c r="K20" i="11" s="1"/>
  <c r="Y21" i="11"/>
  <c r="Y20" i="11"/>
  <c r="D25" i="10"/>
  <c r="E18" i="10"/>
  <c r="R62" i="11"/>
  <c r="T108" i="11"/>
  <c r="T111" i="11" s="1"/>
  <c r="S28" i="11"/>
  <c r="H21" i="11" l="1"/>
  <c r="D13" i="10"/>
  <c r="Q13" i="10" s="1"/>
  <c r="D8" i="10"/>
  <c r="Q8" i="10" s="1"/>
  <c r="T20" i="11"/>
  <c r="S20" i="11"/>
  <c r="D19" i="10"/>
  <c r="T21" i="11"/>
  <c r="Q57" i="11"/>
  <c r="M21" i="11"/>
  <c r="X20" i="11"/>
  <c r="M57" i="11"/>
  <c r="M11" i="11"/>
  <c r="C13" i="10" s="1"/>
  <c r="D24" i="10"/>
  <c r="X57" i="11"/>
  <c r="L57" i="11"/>
  <c r="D12" i="10"/>
  <c r="Q12" i="10" s="1"/>
  <c r="D17" i="10"/>
  <c r="Q17" i="10" s="1"/>
  <c r="W57" i="11"/>
  <c r="W11" i="11"/>
  <c r="C23" i="10" s="1"/>
  <c r="R21" i="11"/>
  <c r="I20" i="11"/>
  <c r="W21" i="11"/>
  <c r="D23" i="10"/>
  <c r="J20" i="11"/>
  <c r="V20" i="11"/>
  <c r="H57" i="11"/>
  <c r="P21" i="11"/>
  <c r="V21" i="11"/>
  <c r="P57" i="11"/>
  <c r="K57" i="11"/>
  <c r="D18" i="10"/>
  <c r="Q18" i="10" s="1"/>
  <c r="S57" i="11"/>
  <c r="X11" i="11"/>
  <c r="C24" i="10" s="1"/>
  <c r="D11" i="10"/>
  <c r="Q11" i="10" s="1"/>
  <c r="D9" i="10"/>
  <c r="Q9" i="10" s="1"/>
  <c r="I57" i="11"/>
  <c r="J57" i="11"/>
  <c r="J21" i="11"/>
  <c r="Q20" i="11"/>
  <c r="V57" i="11"/>
  <c r="Y57" i="11"/>
  <c r="Z20" i="11"/>
  <c r="Z57" i="11"/>
  <c r="T57" i="11"/>
  <c r="D26" i="10"/>
  <c r="O21" i="11"/>
  <c r="O20" i="11"/>
  <c r="P20" i="11"/>
  <c r="O57" i="11"/>
  <c r="N57" i="11"/>
  <c r="U21" i="11"/>
  <c r="L20" i="11"/>
  <c r="O11" i="11"/>
  <c r="C15" i="10" s="1"/>
  <c r="F15" i="10" s="1"/>
  <c r="G20" i="11"/>
  <c r="V11" i="11"/>
  <c r="C22" i="10" s="1"/>
  <c r="U20" i="11"/>
  <c r="D14" i="10"/>
  <c r="Q14" i="10" s="1"/>
  <c r="N21" i="11"/>
  <c r="G57" i="11"/>
  <c r="D7" i="10"/>
  <c r="Q7" i="10" s="1"/>
  <c r="K21" i="11"/>
  <c r="R57" i="11"/>
  <c r="U57" i="11"/>
  <c r="C9" i="10"/>
  <c r="I23" i="11"/>
  <c r="L23" i="11"/>
  <c r="C12" i="10"/>
  <c r="C10" i="10"/>
  <c r="J23" i="11"/>
  <c r="C20" i="10"/>
  <c r="T23" i="11"/>
  <c r="S23" i="11"/>
  <c r="S29" i="11" s="1"/>
  <c r="C19" i="10"/>
  <c r="Y23" i="11"/>
  <c r="C25" i="10"/>
  <c r="C18" i="10"/>
  <c r="R23" i="11"/>
  <c r="R29" i="11" s="1"/>
  <c r="R41" i="11" s="1"/>
  <c r="C11" i="10"/>
  <c r="K23" i="11"/>
  <c r="U23" i="11"/>
  <c r="C21" i="10"/>
  <c r="C14" i="10"/>
  <c r="N23" i="11"/>
  <c r="C7" i="10"/>
  <c r="G23" i="11"/>
  <c r="P23" i="11"/>
  <c r="C16" i="10"/>
  <c r="F16" i="10" s="1"/>
  <c r="H23" i="11"/>
  <c r="C8" i="10"/>
  <c r="C26" i="10"/>
  <c r="Z23" i="11"/>
  <c r="C17" i="10"/>
  <c r="Q23" i="11"/>
  <c r="Q29" i="11" s="1"/>
  <c r="T28" i="11"/>
  <c r="U108" i="11"/>
  <c r="U111" i="11" s="1"/>
  <c r="E19" i="10"/>
  <c r="S62" i="11"/>
  <c r="F13" i="10" l="1"/>
  <c r="F17" i="10"/>
  <c r="M23" i="11"/>
  <c r="M29" i="11" s="1"/>
  <c r="W23" i="11"/>
  <c r="F14" i="10"/>
  <c r="F18" i="10"/>
  <c r="X23" i="11"/>
  <c r="O23" i="11"/>
  <c r="O25" i="11" s="1"/>
  <c r="V23" i="11"/>
  <c r="C70" i="11"/>
  <c r="C73" i="11" s="1"/>
  <c r="F32" i="19" s="1"/>
  <c r="R32" i="11"/>
  <c r="R36" i="11" s="1"/>
  <c r="R37" i="11" s="1"/>
  <c r="Q41" i="11"/>
  <c r="Q32" i="11"/>
  <c r="Q36" i="11" s="1"/>
  <c r="Q37" i="11" s="1"/>
  <c r="J25" i="11"/>
  <c r="J29" i="11"/>
  <c r="H29" i="11"/>
  <c r="H25" i="11"/>
  <c r="P25" i="11"/>
  <c r="P29" i="11"/>
  <c r="F10" i="10"/>
  <c r="F12" i="10"/>
  <c r="F7" i="10"/>
  <c r="L25" i="11"/>
  <c r="L29" i="11"/>
  <c r="G25" i="11"/>
  <c r="G29" i="11"/>
  <c r="N25" i="11"/>
  <c r="N29" i="11"/>
  <c r="K25" i="11"/>
  <c r="K29" i="11"/>
  <c r="I29" i="11"/>
  <c r="I25" i="11"/>
  <c r="F8" i="10"/>
  <c r="F11" i="10"/>
  <c r="F9" i="10"/>
  <c r="S32" i="11"/>
  <c r="S36" i="11" s="1"/>
  <c r="S37" i="11" s="1"/>
  <c r="S41" i="11"/>
  <c r="R44" i="11"/>
  <c r="R139" i="11"/>
  <c r="R43" i="11"/>
  <c r="G18" i="10" s="1"/>
  <c r="Q19" i="10"/>
  <c r="F19" i="10"/>
  <c r="U28" i="11"/>
  <c r="V108" i="11"/>
  <c r="V111" i="11" s="1"/>
  <c r="E20" i="10"/>
  <c r="T29" i="11"/>
  <c r="T62" i="11"/>
  <c r="M25" i="11" l="1"/>
  <c r="N13" i="10" s="1"/>
  <c r="O29" i="11"/>
  <c r="O32" i="11" s="1"/>
  <c r="O36" i="11" s="1"/>
  <c r="O37" i="11" s="1"/>
  <c r="E70" i="11"/>
  <c r="E30" i="19" s="1"/>
  <c r="F30" i="19"/>
  <c r="G41" i="11"/>
  <c r="G32" i="11"/>
  <c r="G36" i="11" s="1"/>
  <c r="G37" i="11" s="1"/>
  <c r="N15" i="10"/>
  <c r="N9" i="10"/>
  <c r="M32" i="11"/>
  <c r="M36" i="11" s="1"/>
  <c r="M37" i="11" s="1"/>
  <c r="M41" i="11"/>
  <c r="H32" i="11"/>
  <c r="H36" i="11" s="1"/>
  <c r="H37" i="11" s="1"/>
  <c r="H41" i="11"/>
  <c r="N16" i="10"/>
  <c r="N7" i="10"/>
  <c r="N8" i="10"/>
  <c r="I41" i="11"/>
  <c r="I32" i="11"/>
  <c r="I36" i="11" s="1"/>
  <c r="I37" i="11" s="1"/>
  <c r="J41" i="11"/>
  <c r="J32" i="11"/>
  <c r="J36" i="11" s="1"/>
  <c r="J37" i="11" s="1"/>
  <c r="N11" i="10"/>
  <c r="N12" i="10"/>
  <c r="N41" i="11"/>
  <c r="N32" i="11"/>
  <c r="N36" i="11" s="1"/>
  <c r="N37" i="11" s="1"/>
  <c r="Q44" i="11"/>
  <c r="Q43" i="11"/>
  <c r="G17" i="10" s="1"/>
  <c r="Q139" i="11"/>
  <c r="K41" i="11"/>
  <c r="K32" i="11"/>
  <c r="K36" i="11" s="1"/>
  <c r="K37" i="11" s="1"/>
  <c r="L41" i="11"/>
  <c r="L32" i="11"/>
  <c r="L36" i="11" s="1"/>
  <c r="L37" i="11" s="1"/>
  <c r="N10" i="10"/>
  <c r="N14" i="10"/>
  <c r="P41" i="11"/>
  <c r="P32" i="11"/>
  <c r="P36" i="11" s="1"/>
  <c r="P37" i="11" s="1"/>
  <c r="W108" i="11"/>
  <c r="W111" i="11" s="1"/>
  <c r="V28" i="11"/>
  <c r="E21" i="10"/>
  <c r="U62" i="11"/>
  <c r="U29" i="11"/>
  <c r="R151" i="11"/>
  <c r="R143" i="11"/>
  <c r="H18" i="10"/>
  <c r="R47" i="11"/>
  <c r="T41" i="11"/>
  <c r="T32" i="11"/>
  <c r="T36" i="11" s="1"/>
  <c r="T37" i="11" s="1"/>
  <c r="Q20" i="10"/>
  <c r="F20" i="10"/>
  <c r="S44" i="11"/>
  <c r="S43" i="11"/>
  <c r="G19" i="10" s="1"/>
  <c r="S139" i="11"/>
  <c r="F25" i="11" l="1"/>
  <c r="J26" i="11" s="1"/>
  <c r="E25" i="11"/>
  <c r="P27" i="7" s="1"/>
  <c r="P28" i="7" s="1"/>
  <c r="E73" i="11"/>
  <c r="E32" i="19" s="1"/>
  <c r="O41" i="11"/>
  <c r="O44" i="11" s="1"/>
  <c r="M38" i="11"/>
  <c r="G44" i="11"/>
  <c r="G43" i="11"/>
  <c r="G139" i="11"/>
  <c r="O38" i="11"/>
  <c r="J139" i="11"/>
  <c r="J43" i="11"/>
  <c r="J44" i="11"/>
  <c r="I38" i="11"/>
  <c r="H38" i="11"/>
  <c r="G38" i="11"/>
  <c r="R38" i="11"/>
  <c r="L38" i="11"/>
  <c r="Q143" i="11"/>
  <c r="Q151" i="11"/>
  <c r="L44" i="11"/>
  <c r="L43" i="11"/>
  <c r="L139" i="11"/>
  <c r="S38" i="11"/>
  <c r="P44" i="11"/>
  <c r="P43" i="11"/>
  <c r="P139" i="11"/>
  <c r="K38" i="11"/>
  <c r="Q47" i="11"/>
  <c r="J17" i="10" s="1"/>
  <c r="H17" i="10"/>
  <c r="M139" i="11"/>
  <c r="M44" i="11"/>
  <c r="M43" i="11"/>
  <c r="J38" i="11"/>
  <c r="P38" i="11"/>
  <c r="Q38" i="11"/>
  <c r="K44" i="11"/>
  <c r="K139" i="11"/>
  <c r="K43" i="11"/>
  <c r="I44" i="11"/>
  <c r="I139" i="11"/>
  <c r="I43" i="11"/>
  <c r="H44" i="11"/>
  <c r="H43" i="11"/>
  <c r="H139" i="11"/>
  <c r="N38" i="11"/>
  <c r="N44" i="11"/>
  <c r="N139" i="11"/>
  <c r="N43" i="11"/>
  <c r="S143" i="11"/>
  <c r="S151" i="11"/>
  <c r="U41" i="11"/>
  <c r="U32" i="11"/>
  <c r="U36" i="11" s="1"/>
  <c r="U37" i="11" s="1"/>
  <c r="U38" i="11" s="1"/>
  <c r="H19" i="10"/>
  <c r="S47" i="11"/>
  <c r="T38" i="11"/>
  <c r="Q21" i="10"/>
  <c r="F21" i="10"/>
  <c r="T44" i="11"/>
  <c r="T43" i="11"/>
  <c r="G20" i="10" s="1"/>
  <c r="T139" i="11"/>
  <c r="J18" i="10"/>
  <c r="R46" i="11"/>
  <c r="V62" i="11"/>
  <c r="E22" i="10"/>
  <c r="V29" i="11"/>
  <c r="W28" i="11"/>
  <c r="X108" i="11"/>
  <c r="X111" i="11" s="1"/>
  <c r="P24" i="7" l="1"/>
  <c r="P25" i="7" s="1"/>
  <c r="D7" i="9" s="1"/>
  <c r="V26" i="11"/>
  <c r="N26" i="11"/>
  <c r="O26" i="11"/>
  <c r="AF26" i="11"/>
  <c r="M26" i="11"/>
  <c r="I26" i="11"/>
  <c r="Z26" i="11"/>
  <c r="U26" i="11"/>
  <c r="AI26" i="11"/>
  <c r="H26" i="11"/>
  <c r="AA26" i="11"/>
  <c r="K26" i="11"/>
  <c r="S26" i="11"/>
  <c r="AG26" i="11"/>
  <c r="X26" i="11"/>
  <c r="Q26" i="11"/>
  <c r="L26" i="11"/>
  <c r="P26" i="11"/>
  <c r="W26" i="11"/>
  <c r="Y26" i="11"/>
  <c r="AB26" i="11"/>
  <c r="AH26" i="11"/>
  <c r="T26" i="11"/>
  <c r="G26" i="11"/>
  <c r="AC26" i="11"/>
  <c r="AD26" i="11"/>
  <c r="AE26" i="11"/>
  <c r="R26" i="11"/>
  <c r="AJ26" i="11"/>
  <c r="O139" i="11"/>
  <c r="O151" i="11" s="1"/>
  <c r="O43" i="11"/>
  <c r="G15" i="10" s="1"/>
  <c r="Q46" i="11"/>
  <c r="Q48" i="11" s="1"/>
  <c r="N47" i="11"/>
  <c r="J14" i="10" s="1"/>
  <c r="H14" i="10"/>
  <c r="G8" i="10"/>
  <c r="G16" i="10"/>
  <c r="I47" i="11"/>
  <c r="J9" i="10" s="1"/>
  <c r="H9" i="10"/>
  <c r="L143" i="11"/>
  <c r="L151" i="11"/>
  <c r="H10" i="10"/>
  <c r="J47" i="11"/>
  <c r="J10" i="10" s="1"/>
  <c r="H12" i="10"/>
  <c r="L47" i="11"/>
  <c r="J12" i="10" s="1"/>
  <c r="O47" i="11"/>
  <c r="J15" i="10" s="1"/>
  <c r="H15" i="10"/>
  <c r="J143" i="11"/>
  <c r="J151" i="11"/>
  <c r="N143" i="11"/>
  <c r="N151" i="11"/>
  <c r="H151" i="11"/>
  <c r="H143" i="11"/>
  <c r="H11" i="10"/>
  <c r="K47" i="11"/>
  <c r="J11" i="10" s="1"/>
  <c r="M143" i="11"/>
  <c r="M151" i="11"/>
  <c r="P151" i="11"/>
  <c r="P143" i="11"/>
  <c r="H16" i="10"/>
  <c r="P47" i="11"/>
  <c r="J16" i="10" s="1"/>
  <c r="G143" i="11"/>
  <c r="G152" i="11"/>
  <c r="G151" i="11"/>
  <c r="G144" i="11"/>
  <c r="G7" i="10"/>
  <c r="G11" i="10"/>
  <c r="G13" i="10"/>
  <c r="G12" i="10"/>
  <c r="G10" i="10"/>
  <c r="G14" i="10"/>
  <c r="K151" i="11"/>
  <c r="K143" i="11"/>
  <c r="M47" i="11"/>
  <c r="J13" i="10" s="1"/>
  <c r="H13" i="10"/>
  <c r="H47" i="11"/>
  <c r="J8" i="10" s="1"/>
  <c r="H8" i="10"/>
  <c r="G9" i="10"/>
  <c r="I151" i="11"/>
  <c r="I143" i="11"/>
  <c r="H7" i="10"/>
  <c r="G47" i="11"/>
  <c r="J7" i="10" s="1"/>
  <c r="Q22" i="10"/>
  <c r="F22" i="10"/>
  <c r="J19" i="10"/>
  <c r="S46" i="11"/>
  <c r="R64" i="11"/>
  <c r="R66" i="11" s="1"/>
  <c r="I18" i="10"/>
  <c r="R48" i="11"/>
  <c r="Y108" i="11"/>
  <c r="Y111" i="11" s="1"/>
  <c r="X28" i="11"/>
  <c r="W62" i="11"/>
  <c r="E23" i="10"/>
  <c r="W29" i="11"/>
  <c r="T143" i="11"/>
  <c r="T151" i="11"/>
  <c r="U43" i="11"/>
  <c r="U139" i="11"/>
  <c r="U44" i="11"/>
  <c r="H20" i="10"/>
  <c r="T47" i="11"/>
  <c r="V41" i="11"/>
  <c r="V32" i="11"/>
  <c r="V36" i="11" s="1"/>
  <c r="V37" i="11" s="1"/>
  <c r="V38" i="11" s="1"/>
  <c r="O24" i="7" l="1"/>
  <c r="O143" i="11"/>
  <c r="J46" i="11"/>
  <c r="J48" i="11" s="1"/>
  <c r="I17" i="10"/>
  <c r="K17" i="10" s="1"/>
  <c r="Q64" i="11"/>
  <c r="Q66" i="11" s="1"/>
  <c r="G153" i="11"/>
  <c r="H150" i="11" s="1"/>
  <c r="G145" i="11"/>
  <c r="H142" i="11" s="1"/>
  <c r="G155" i="11"/>
  <c r="N46" i="11"/>
  <c r="N48" i="11" s="1"/>
  <c r="G46" i="11"/>
  <c r="G48" i="11" s="1"/>
  <c r="I46" i="11"/>
  <c r="P46" i="11"/>
  <c r="L46" i="11"/>
  <c r="G147" i="11"/>
  <c r="O46" i="11"/>
  <c r="H46" i="11"/>
  <c r="M46" i="11"/>
  <c r="K46" i="11"/>
  <c r="W41" i="11"/>
  <c r="W32" i="11"/>
  <c r="W36" i="11" s="1"/>
  <c r="W37" i="11" s="1"/>
  <c r="W38" i="11" s="1"/>
  <c r="S64" i="11"/>
  <c r="S66" i="11" s="1"/>
  <c r="S48" i="11"/>
  <c r="I19" i="10"/>
  <c r="U47" i="11"/>
  <c r="J21" i="10" s="1"/>
  <c r="H21" i="10"/>
  <c r="Q23" i="10"/>
  <c r="F23" i="10"/>
  <c r="U143" i="11"/>
  <c r="U151" i="11"/>
  <c r="G21" i="10"/>
  <c r="X29" i="11"/>
  <c r="X62" i="11"/>
  <c r="E24" i="10"/>
  <c r="Y28" i="11"/>
  <c r="Z108" i="11"/>
  <c r="Z111" i="11" s="1"/>
  <c r="V44" i="11"/>
  <c r="V139" i="11"/>
  <c r="V43" i="11"/>
  <c r="G22" i="10" s="1"/>
  <c r="J20" i="10"/>
  <c r="T46" i="11"/>
  <c r="P18" i="10"/>
  <c r="K18" i="10"/>
  <c r="I10" i="10" l="1"/>
  <c r="P10" i="10" s="1"/>
  <c r="I14" i="10"/>
  <c r="P14" i="10" s="1"/>
  <c r="J64" i="11"/>
  <c r="J66" i="11" s="1"/>
  <c r="P17" i="10"/>
  <c r="N64" i="11"/>
  <c r="N66" i="11" s="1"/>
  <c r="G64" i="11"/>
  <c r="G66" i="11" s="1"/>
  <c r="I7" i="10"/>
  <c r="P7" i="10" s="1"/>
  <c r="H144" i="11"/>
  <c r="H147" i="11" s="1"/>
  <c r="H152" i="11"/>
  <c r="H155" i="11" s="1"/>
  <c r="K64" i="11"/>
  <c r="K66" i="11" s="1"/>
  <c r="I11" i="10"/>
  <c r="K48" i="11"/>
  <c r="O64" i="11"/>
  <c r="O66" i="11" s="1"/>
  <c r="I15" i="10"/>
  <c r="O48" i="11"/>
  <c r="I12" i="10"/>
  <c r="L64" i="11"/>
  <c r="L66" i="11" s="1"/>
  <c r="L48" i="11"/>
  <c r="U46" i="11"/>
  <c r="U64" i="11" s="1"/>
  <c r="U66" i="11" s="1"/>
  <c r="H64" i="11"/>
  <c r="H66" i="11" s="1"/>
  <c r="I8" i="10"/>
  <c r="H48" i="11"/>
  <c r="H49" i="11" s="1"/>
  <c r="M8" i="10" s="1"/>
  <c r="P64" i="11"/>
  <c r="P66" i="11" s="1"/>
  <c r="P48" i="11"/>
  <c r="I16" i="10"/>
  <c r="I9" i="10"/>
  <c r="I64" i="11"/>
  <c r="I66" i="11" s="1"/>
  <c r="I48" i="11"/>
  <c r="G49" i="11"/>
  <c r="M7" i="10" s="1"/>
  <c r="I13" i="10"/>
  <c r="M64" i="11"/>
  <c r="M66" i="11" s="1"/>
  <c r="M48" i="11"/>
  <c r="X41" i="11"/>
  <c r="X32" i="11"/>
  <c r="X36" i="11" s="1"/>
  <c r="X37" i="11" s="1"/>
  <c r="X38" i="11" s="1"/>
  <c r="V47" i="11"/>
  <c r="H22" i="10"/>
  <c r="P19" i="10"/>
  <c r="K19" i="10"/>
  <c r="AA108" i="11"/>
  <c r="AA111" i="11" s="1"/>
  <c r="Z28" i="11"/>
  <c r="V143" i="11"/>
  <c r="V151" i="11"/>
  <c r="Y62" i="11"/>
  <c r="Y29" i="11"/>
  <c r="E25" i="10"/>
  <c r="I20" i="10"/>
  <c r="T48" i="11"/>
  <c r="T64" i="11"/>
  <c r="T66" i="11" s="1"/>
  <c r="Q24" i="10"/>
  <c r="F24" i="10"/>
  <c r="W139" i="11"/>
  <c r="W43" i="11"/>
  <c r="G23" i="10" s="1"/>
  <c r="W44" i="11"/>
  <c r="K14" i="10" l="1"/>
  <c r="K10" i="10"/>
  <c r="I49" i="11"/>
  <c r="M9" i="10" s="1"/>
  <c r="K7" i="10"/>
  <c r="L7" i="10" s="1"/>
  <c r="H153" i="11"/>
  <c r="I150" i="11" s="1"/>
  <c r="U48" i="11"/>
  <c r="U49" i="11" s="1"/>
  <c r="M21" i="10" s="1"/>
  <c r="I21" i="10"/>
  <c r="P21" i="10" s="1"/>
  <c r="H145" i="11"/>
  <c r="I142" i="11" s="1"/>
  <c r="K49" i="11"/>
  <c r="M11" i="10" s="1"/>
  <c r="R49" i="11"/>
  <c r="M18" i="10" s="1"/>
  <c r="M49" i="11"/>
  <c r="M13" i="10" s="1"/>
  <c r="J49" i="11"/>
  <c r="M10" i="10" s="1"/>
  <c r="Q49" i="11"/>
  <c r="M17" i="10" s="1"/>
  <c r="O49" i="11"/>
  <c r="M15" i="10" s="1"/>
  <c r="P8" i="10"/>
  <c r="K8" i="10"/>
  <c r="S49" i="11"/>
  <c r="M19" i="10" s="1"/>
  <c r="N49" i="11"/>
  <c r="M14" i="10" s="1"/>
  <c r="L49" i="11"/>
  <c r="M12" i="10" s="1"/>
  <c r="K15" i="10"/>
  <c r="P15" i="10"/>
  <c r="P16" i="10"/>
  <c r="K16" i="10"/>
  <c r="T49" i="11"/>
  <c r="M20" i="10" s="1"/>
  <c r="P11" i="10"/>
  <c r="K11" i="10"/>
  <c r="P49" i="11"/>
  <c r="M16" i="10" s="1"/>
  <c r="P12" i="10"/>
  <c r="K12" i="10"/>
  <c r="K13" i="10"/>
  <c r="P13" i="10"/>
  <c r="P9" i="10"/>
  <c r="K9" i="10"/>
  <c r="Z62" i="11"/>
  <c r="Z29" i="11"/>
  <c r="E26" i="10"/>
  <c r="J22" i="10"/>
  <c r="V46" i="11"/>
  <c r="AB108" i="11"/>
  <c r="AB111" i="11" s="1"/>
  <c r="AA28" i="11"/>
  <c r="K20" i="10"/>
  <c r="P20" i="10"/>
  <c r="H23" i="10"/>
  <c r="W47" i="11"/>
  <c r="Q25" i="10"/>
  <c r="F25" i="10"/>
  <c r="Y32" i="11"/>
  <c r="Y36" i="11" s="1"/>
  <c r="Y37" i="11" s="1"/>
  <c r="Y41" i="11"/>
  <c r="W143" i="11"/>
  <c r="W151" i="11"/>
  <c r="X44" i="11"/>
  <c r="X43" i="11"/>
  <c r="G24" i="10" s="1"/>
  <c r="X139" i="11"/>
  <c r="K21" i="10" l="1"/>
  <c r="L8" i="10"/>
  <c r="L9" i="10" s="1"/>
  <c r="L10" i="10" s="1"/>
  <c r="L11" i="10" s="1"/>
  <c r="L12" i="10" s="1"/>
  <c r="L13" i="10" s="1"/>
  <c r="L14" i="10" s="1"/>
  <c r="L15" i="10" s="1"/>
  <c r="L16" i="10" s="1"/>
  <c r="L17" i="10" s="1"/>
  <c r="L18" i="10" s="1"/>
  <c r="L19" i="10" s="1"/>
  <c r="L20" i="10" s="1"/>
  <c r="I144" i="11"/>
  <c r="I147" i="11" s="1"/>
  <c r="I152" i="11"/>
  <c r="I155" i="11" s="1"/>
  <c r="AA62" i="11"/>
  <c r="AA29" i="11"/>
  <c r="J23" i="10"/>
  <c r="W46" i="11"/>
  <c r="AB28" i="11"/>
  <c r="AC108" i="11"/>
  <c r="AC111" i="11" s="1"/>
  <c r="I22" i="10"/>
  <c r="V64" i="11"/>
  <c r="V66" i="11" s="1"/>
  <c r="V48" i="11"/>
  <c r="V49" i="11" s="1"/>
  <c r="M22" i="10" s="1"/>
  <c r="X143" i="11"/>
  <c r="X151" i="11"/>
  <c r="Y43" i="11"/>
  <c r="G25" i="10" s="1"/>
  <c r="Y139" i="11"/>
  <c r="Y44" i="11"/>
  <c r="Y38" i="11"/>
  <c r="F26" i="10"/>
  <c r="Q26" i="10"/>
  <c r="H24" i="10"/>
  <c r="X47" i="11"/>
  <c r="J24" i="10" s="1"/>
  <c r="Z41" i="11"/>
  <c r="Z32" i="11"/>
  <c r="Z36" i="11" s="1"/>
  <c r="Z37" i="11" s="1"/>
  <c r="Z38" i="11" s="1"/>
  <c r="L21" i="10" l="1"/>
  <c r="I145" i="11"/>
  <c r="J142" i="11" s="1"/>
  <c r="I153" i="11"/>
  <c r="J150" i="11" s="1"/>
  <c r="AC28" i="11"/>
  <c r="AD108" i="11"/>
  <c r="AD111" i="11" s="1"/>
  <c r="AB29" i="11"/>
  <c r="AB62" i="11"/>
  <c r="I23" i="10"/>
  <c r="W48" i="11"/>
  <c r="W64" i="11"/>
  <c r="W66" i="11" s="1"/>
  <c r="P22" i="10"/>
  <c r="K22" i="10"/>
  <c r="X46" i="11"/>
  <c r="Z43" i="11"/>
  <c r="G26" i="10" s="1"/>
  <c r="Z44" i="11"/>
  <c r="Z139" i="11"/>
  <c r="Y47" i="11"/>
  <c r="J25" i="10" s="1"/>
  <c r="H25" i="10"/>
  <c r="AA32" i="11"/>
  <c r="AA36" i="11" s="1"/>
  <c r="AA37" i="11" s="1"/>
  <c r="AA38" i="11" s="1"/>
  <c r="AA41" i="11"/>
  <c r="Y151" i="11"/>
  <c r="Y143" i="11"/>
  <c r="L22" i="10" l="1"/>
  <c r="J152" i="11"/>
  <c r="J155" i="11" s="1"/>
  <c r="J144" i="11"/>
  <c r="J147" i="11" s="1"/>
  <c r="Z143" i="11"/>
  <c r="Z151" i="11"/>
  <c r="W49" i="11"/>
  <c r="M23" i="10" s="1"/>
  <c r="Z47" i="11"/>
  <c r="J26" i="10" s="1"/>
  <c r="H26" i="10"/>
  <c r="K23" i="10"/>
  <c r="P23" i="10"/>
  <c r="Y46" i="11"/>
  <c r="AB41" i="11"/>
  <c r="AB32" i="11"/>
  <c r="AB36" i="11" s="1"/>
  <c r="AB37" i="11" s="1"/>
  <c r="AB38" i="11" s="1"/>
  <c r="AA44" i="11"/>
  <c r="AA47" i="11" s="1"/>
  <c r="AA43" i="11"/>
  <c r="AA139" i="11"/>
  <c r="X64" i="11"/>
  <c r="X66" i="11" s="1"/>
  <c r="I24" i="10"/>
  <c r="X48" i="11"/>
  <c r="AD28" i="11"/>
  <c r="AE108" i="11"/>
  <c r="AE111" i="11" s="1"/>
  <c r="AC62" i="11"/>
  <c r="AC29" i="11"/>
  <c r="L23" i="10" l="1"/>
  <c r="J153" i="11"/>
  <c r="K150" i="11" s="1"/>
  <c r="J145" i="11"/>
  <c r="K142" i="11" s="1"/>
  <c r="Z46" i="11"/>
  <c r="Z64" i="11" s="1"/>
  <c r="Z66" i="11" s="1"/>
  <c r="AA46" i="11"/>
  <c r="X49" i="11"/>
  <c r="M24" i="10" s="1"/>
  <c r="K24" i="10"/>
  <c r="P24" i="10"/>
  <c r="Y64" i="11"/>
  <c r="Y66" i="11" s="1"/>
  <c r="I25" i="10"/>
  <c r="Y48" i="11"/>
  <c r="Y49" i="11" s="1"/>
  <c r="M25" i="10" s="1"/>
  <c r="AF108" i="11"/>
  <c r="AF111" i="11" s="1"/>
  <c r="AE28" i="11"/>
  <c r="AB139" i="11"/>
  <c r="AB43" i="11"/>
  <c r="AB44" i="11"/>
  <c r="AB47" i="11" s="1"/>
  <c r="AA152" i="11"/>
  <c r="AA143" i="11"/>
  <c r="AA151" i="11"/>
  <c r="AA144" i="11"/>
  <c r="AD29" i="11"/>
  <c r="AD62" i="11"/>
  <c r="AC41" i="11"/>
  <c r="AC32" i="11"/>
  <c r="AC36" i="11" s="1"/>
  <c r="AC37" i="11" s="1"/>
  <c r="AC38" i="11" s="1"/>
  <c r="L24" i="10" l="1"/>
  <c r="K152" i="11"/>
  <c r="K155" i="11" s="1"/>
  <c r="K144" i="11"/>
  <c r="K147" i="11" s="1"/>
  <c r="I26" i="10"/>
  <c r="P26" i="10" s="1"/>
  <c r="Z48" i="11"/>
  <c r="Z49" i="11" s="1"/>
  <c r="M26" i="10" s="1"/>
  <c r="AA64" i="11"/>
  <c r="AA66" i="11" s="1"/>
  <c r="AA48" i="11"/>
  <c r="P25" i="10"/>
  <c r="K25" i="10"/>
  <c r="AB46" i="11"/>
  <c r="AD41" i="11"/>
  <c r="AD32" i="11"/>
  <c r="AD36" i="11" s="1"/>
  <c r="AD37" i="11" s="1"/>
  <c r="AD38" i="11" s="1"/>
  <c r="AB143" i="11"/>
  <c r="AB151" i="11"/>
  <c r="AB144" i="11"/>
  <c r="AB152" i="11"/>
  <c r="AA155" i="11"/>
  <c r="AE29" i="11"/>
  <c r="AE62" i="11"/>
  <c r="AC44" i="11"/>
  <c r="AC47" i="11" s="1"/>
  <c r="AC139" i="11"/>
  <c r="AC43" i="11"/>
  <c r="AA147" i="11"/>
  <c r="AF28" i="11"/>
  <c r="AG108" i="11"/>
  <c r="AG111" i="11" s="1"/>
  <c r="L25" i="10" l="1"/>
  <c r="AA49" i="11"/>
  <c r="K145" i="11"/>
  <c r="L142" i="11" s="1"/>
  <c r="K153" i="11"/>
  <c r="L150" i="11" s="1"/>
  <c r="K26" i="10"/>
  <c r="AC46" i="11"/>
  <c r="AC64" i="11" s="1"/>
  <c r="AC66" i="11" s="1"/>
  <c r="AB147" i="11"/>
  <c r="AB155" i="11"/>
  <c r="AD139" i="11"/>
  <c r="AD44" i="11"/>
  <c r="AD47" i="11" s="1"/>
  <c r="AD43" i="11"/>
  <c r="AB48" i="11"/>
  <c r="AB64" i="11"/>
  <c r="AB66" i="11" s="1"/>
  <c r="AE32" i="11"/>
  <c r="AE36" i="11" s="1"/>
  <c r="AE37" i="11" s="1"/>
  <c r="AE38" i="11" s="1"/>
  <c r="AE41" i="11"/>
  <c r="AF29" i="11"/>
  <c r="AF62" i="11"/>
  <c r="AC151" i="11"/>
  <c r="AC143" i="11"/>
  <c r="AC152" i="11"/>
  <c r="AC144" i="11"/>
  <c r="AH108" i="11"/>
  <c r="AH111" i="11" s="1"/>
  <c r="AG28" i="11"/>
  <c r="L26" i="10" l="1"/>
  <c r="L27" i="10" s="1"/>
  <c r="L28" i="10" s="1"/>
  <c r="L29" i="10" s="1"/>
  <c r="L30" i="10" s="1"/>
  <c r="L31" i="10" s="1"/>
  <c r="L32" i="10" s="1"/>
  <c r="L33" i="10" s="1"/>
  <c r="L34" i="10" s="1"/>
  <c r="L35" i="10" s="1"/>
  <c r="L36" i="10" s="1"/>
  <c r="L152" i="11"/>
  <c r="L155" i="11" s="1"/>
  <c r="L144" i="11"/>
  <c r="L147" i="11" s="1"/>
  <c r="AC48" i="11"/>
  <c r="AC49" i="11" s="1"/>
  <c r="AC147" i="11"/>
  <c r="AE43" i="11"/>
  <c r="AE139" i="11"/>
  <c r="AE44" i="11"/>
  <c r="AE47" i="11" s="1"/>
  <c r="AC155" i="11"/>
  <c r="AB49" i="11"/>
  <c r="AF32" i="11"/>
  <c r="AF36" i="11" s="1"/>
  <c r="AF37" i="11" s="1"/>
  <c r="AF38" i="11" s="1"/>
  <c r="AF41" i="11"/>
  <c r="AG29" i="11"/>
  <c r="AG62" i="11"/>
  <c r="AD46" i="11"/>
  <c r="AH28" i="11"/>
  <c r="AI108" i="11"/>
  <c r="AI111" i="11" s="1"/>
  <c r="AD152" i="11"/>
  <c r="AD143" i="11"/>
  <c r="AD144" i="11"/>
  <c r="AD151" i="11"/>
  <c r="L153" i="11" l="1"/>
  <c r="M150" i="11" s="1"/>
  <c r="L145" i="11"/>
  <c r="AD155" i="11"/>
  <c r="AF139" i="11"/>
  <c r="AF43" i="11"/>
  <c r="AF44" i="11"/>
  <c r="AF47" i="11" s="1"/>
  <c r="AH29" i="11"/>
  <c r="AH62" i="11"/>
  <c r="AD147" i="11"/>
  <c r="AD64" i="11"/>
  <c r="AD66" i="11" s="1"/>
  <c r="AD48" i="11"/>
  <c r="AD49" i="11" s="1"/>
  <c r="AG32" i="11"/>
  <c r="AG36" i="11" s="1"/>
  <c r="AG37" i="11" s="1"/>
  <c r="AG38" i="11" s="1"/>
  <c r="AG41" i="11"/>
  <c r="AE151" i="11"/>
  <c r="AE152" i="11"/>
  <c r="AE144" i="11"/>
  <c r="AE143" i="11"/>
  <c r="AI28" i="11"/>
  <c r="AJ108" i="11"/>
  <c r="AJ111" i="11" s="1"/>
  <c r="AJ28" i="11" s="1"/>
  <c r="AE46" i="11"/>
  <c r="M142" i="11" l="1"/>
  <c r="M152" i="11"/>
  <c r="M144" i="11"/>
  <c r="M147" i="11" s="1"/>
  <c r="AE147" i="11"/>
  <c r="AI62" i="11"/>
  <c r="AI29" i="11"/>
  <c r="AE155" i="11"/>
  <c r="AJ62" i="11"/>
  <c r="AJ29" i="11"/>
  <c r="AE48" i="11"/>
  <c r="AE49" i="11" s="1"/>
  <c r="AE64" i="11"/>
  <c r="AE66" i="11" s="1"/>
  <c r="AG44" i="11"/>
  <c r="AG47" i="11" s="1"/>
  <c r="AG43" i="11"/>
  <c r="AG139" i="11"/>
  <c r="AH41" i="11"/>
  <c r="AH32" i="11"/>
  <c r="AH36" i="11" s="1"/>
  <c r="AH37" i="11" s="1"/>
  <c r="AH38" i="11" s="1"/>
  <c r="AF46" i="11"/>
  <c r="AF151" i="11"/>
  <c r="AF143" i="11"/>
  <c r="AF144" i="11"/>
  <c r="AF152" i="11"/>
  <c r="M155" i="11" l="1"/>
  <c r="M153" i="11"/>
  <c r="N150" i="11" s="1"/>
  <c r="M145" i="11"/>
  <c r="AF147" i="11"/>
  <c r="AG46" i="11"/>
  <c r="AG48" i="11" s="1"/>
  <c r="AJ32" i="11"/>
  <c r="AJ36" i="11" s="1"/>
  <c r="AJ37" i="11" s="1"/>
  <c r="AJ41" i="11"/>
  <c r="AH43" i="11"/>
  <c r="AH139" i="11"/>
  <c r="AH44" i="11"/>
  <c r="AH47" i="11" s="1"/>
  <c r="AG144" i="11"/>
  <c r="AG151" i="11"/>
  <c r="AG143" i="11"/>
  <c r="AG152" i="11"/>
  <c r="AI32" i="11"/>
  <c r="AI36" i="11" s="1"/>
  <c r="AI37" i="11" s="1"/>
  <c r="AI41" i="11"/>
  <c r="D76" i="11"/>
  <c r="AF48" i="11"/>
  <c r="AF49" i="11" s="1"/>
  <c r="AF64" i="11"/>
  <c r="AF66" i="11" s="1"/>
  <c r="AF155" i="11"/>
  <c r="N144" i="11" l="1"/>
  <c r="N147" i="11" s="1"/>
  <c r="N142" i="11"/>
  <c r="N152" i="11"/>
  <c r="AG64" i="11"/>
  <c r="AG66" i="11" s="1"/>
  <c r="AG147" i="11"/>
  <c r="AG49" i="11"/>
  <c r="F76" i="11"/>
  <c r="E36" i="19" s="1"/>
  <c r="F36" i="19"/>
  <c r="AH46" i="11"/>
  <c r="AH152" i="11"/>
  <c r="AH143" i="11"/>
  <c r="AH151" i="11"/>
  <c r="AH144" i="11"/>
  <c r="D51" i="11"/>
  <c r="AI38" i="11"/>
  <c r="AJ38" i="11"/>
  <c r="AJ139" i="11"/>
  <c r="AJ44" i="11"/>
  <c r="AJ47" i="11" s="1"/>
  <c r="AJ43" i="11"/>
  <c r="AI43" i="11"/>
  <c r="AI139" i="11"/>
  <c r="AI44" i="11"/>
  <c r="AI47" i="11" s="1"/>
  <c r="AG155" i="11"/>
  <c r="N155" i="11" l="1"/>
  <c r="N153" i="11"/>
  <c r="O150" i="11" s="1"/>
  <c r="N145" i="11"/>
  <c r="AH155" i="11"/>
  <c r="AJ46" i="11"/>
  <c r="AJ64" i="11" s="1"/>
  <c r="AJ66" i="11" s="1"/>
  <c r="AJ144" i="11"/>
  <c r="AJ143" i="11"/>
  <c r="AJ151" i="11"/>
  <c r="AJ152" i="11"/>
  <c r="AH147" i="11"/>
  <c r="AH64" i="11"/>
  <c r="AH66" i="11" s="1"/>
  <c r="AH48" i="11"/>
  <c r="AH49" i="11" s="1"/>
  <c r="AI151" i="11"/>
  <c r="AI143" i="11"/>
  <c r="AI144" i="11"/>
  <c r="AI152" i="11"/>
  <c r="AI46" i="11"/>
  <c r="O144" i="11" l="1"/>
  <c r="O147" i="11" s="1"/>
  <c r="O152" i="11"/>
  <c r="O142" i="11"/>
  <c r="AJ48" i="11"/>
  <c r="AI64" i="11"/>
  <c r="AI48" i="11"/>
  <c r="AI49" i="11" s="1"/>
  <c r="AJ155" i="11"/>
  <c r="AI147" i="11"/>
  <c r="AI155" i="11"/>
  <c r="AJ147" i="11"/>
  <c r="O145" i="11" l="1"/>
  <c r="O155" i="11"/>
  <c r="O153" i="11"/>
  <c r="P150" i="11" s="1"/>
  <c r="D52" i="11"/>
  <c r="G43" i="7" s="1"/>
  <c r="D53" i="11"/>
  <c r="X129" i="7" s="1"/>
  <c r="AJ49" i="11"/>
  <c r="AI66" i="11"/>
  <c r="D80" i="11" s="1"/>
  <c r="D78" i="11"/>
  <c r="P144" i="11" l="1"/>
  <c r="P147" i="11" s="1"/>
  <c r="P152" i="11"/>
  <c r="P155" i="11" s="1"/>
  <c r="P142" i="11"/>
  <c r="D54" i="11"/>
  <c r="V162" i="7" s="1"/>
  <c r="Q22" i="18" s="1"/>
  <c r="F78" i="11"/>
  <c r="F39" i="19"/>
  <c r="D79" i="11"/>
  <c r="F40" i="19" s="1"/>
  <c r="D43" i="9"/>
  <c r="F25" i="19"/>
  <c r="F42" i="19"/>
  <c r="F80" i="11"/>
  <c r="V180" i="7" l="1"/>
  <c r="Q40" i="18" s="1"/>
  <c r="P153" i="11"/>
  <c r="Q150" i="11" s="1"/>
  <c r="F26" i="19"/>
  <c r="P145" i="11"/>
  <c r="V153" i="7"/>
  <c r="Q13" i="18" s="1"/>
  <c r="AA143" i="7"/>
  <c r="V23" i="18" s="1"/>
  <c r="V144" i="7"/>
  <c r="Q4" i="18" s="1"/>
  <c r="W195" i="7"/>
  <c r="X128" i="7"/>
  <c r="D42" i="9" s="1"/>
  <c r="E42" i="19"/>
  <c r="E39" i="19"/>
  <c r="F79" i="11"/>
  <c r="E40" i="19" s="1"/>
  <c r="Q142" i="11" l="1"/>
  <c r="Q152" i="11"/>
  <c r="Q144" i="11"/>
  <c r="Q147" i="11" s="1"/>
  <c r="Q155" i="11" l="1"/>
  <c r="Q153" i="11"/>
  <c r="R150" i="11" s="1"/>
  <c r="Q145" i="11"/>
  <c r="R144" i="11" l="1"/>
  <c r="R147" i="11" s="1"/>
  <c r="R142" i="11"/>
  <c r="R152" i="11"/>
  <c r="R155" i="11" s="1"/>
  <c r="R153" i="11" l="1"/>
  <c r="S150" i="11" s="1"/>
  <c r="R145" i="11"/>
  <c r="S142" i="11" l="1"/>
  <c r="S144" i="11"/>
  <c r="S147" i="11" s="1"/>
  <c r="S152" i="11"/>
  <c r="S155" i="11" s="1"/>
  <c r="S153" i="11" l="1"/>
  <c r="T150" i="11" s="1"/>
  <c r="S145" i="11"/>
  <c r="T152" i="11" l="1"/>
  <c r="T144" i="11"/>
  <c r="T147" i="11" s="1"/>
  <c r="T142" i="11"/>
  <c r="T145" i="11" l="1"/>
  <c r="U142" i="11" s="1"/>
  <c r="T155" i="11"/>
  <c r="T153" i="11"/>
  <c r="U150" i="11" s="1"/>
  <c r="U152" i="11" l="1"/>
  <c r="U155" i="11" s="1"/>
  <c r="U144" i="11"/>
  <c r="U147" i="11" s="1"/>
  <c r="U153" i="11" l="1"/>
  <c r="V150" i="11" s="1"/>
  <c r="U145" i="11"/>
  <c r="V152" i="11" s="1"/>
  <c r="V155" i="11" s="1"/>
  <c r="V142" i="11" l="1"/>
  <c r="V144" i="11"/>
  <c r="V147" i="11" s="1"/>
  <c r="V153" i="11"/>
  <c r="W150" i="11" s="1"/>
  <c r="V145" i="11" l="1"/>
  <c r="W152" i="11" s="1"/>
  <c r="W155" i="11" s="1"/>
  <c r="W153" i="11" l="1"/>
  <c r="X150" i="11" s="1"/>
  <c r="W144" i="11"/>
  <c r="W147" i="11" s="1"/>
  <c r="W142" i="11"/>
  <c r="W145" i="11" l="1"/>
  <c r="X144" i="11" s="1"/>
  <c r="X147" i="11" s="1"/>
  <c r="X142" i="11" l="1"/>
  <c r="X145" i="11" s="1"/>
  <c r="X152" i="11"/>
  <c r="X153" i="11" s="1"/>
  <c r="Y150" i="11" s="1"/>
  <c r="Y142" i="11" l="1"/>
  <c r="Y152" i="11"/>
  <c r="Y155" i="11" s="1"/>
  <c r="Y144" i="11"/>
  <c r="Y147" i="11" s="1"/>
  <c r="X155" i="11"/>
  <c r="Y145" i="11" l="1"/>
  <c r="Y153" i="11"/>
  <c r="Z150" i="11" s="1"/>
  <c r="Z142" i="11" l="1"/>
  <c r="Z144" i="11"/>
  <c r="Z147" i="11" s="1"/>
  <c r="Z152" i="11"/>
  <c r="Z155" i="11" s="1"/>
  <c r="Z145" i="11" l="1"/>
  <c r="AA142" i="11" s="1"/>
  <c r="AA145" i="11" s="1"/>
  <c r="AB142" i="11" s="1"/>
  <c r="AB145" i="11" s="1"/>
  <c r="AC142" i="11" s="1"/>
  <c r="AC145" i="11" s="1"/>
  <c r="AD142" i="11" s="1"/>
  <c r="AD145" i="11" s="1"/>
  <c r="AE142" i="11" s="1"/>
  <c r="AE145" i="11" s="1"/>
  <c r="AF142" i="11" s="1"/>
  <c r="AF145" i="11" s="1"/>
  <c r="AG142" i="11" s="1"/>
  <c r="AG145" i="11" s="1"/>
  <c r="AH142" i="11" s="1"/>
  <c r="AH145" i="11" s="1"/>
  <c r="AI142" i="11" s="1"/>
  <c r="AI145" i="11" s="1"/>
  <c r="AJ142" i="11" s="1"/>
  <c r="AJ145" i="11" s="1"/>
  <c r="Z153" i="11"/>
  <c r="AA150" i="11" s="1"/>
  <c r="AA153" i="11" s="1"/>
  <c r="AB150" i="11" s="1"/>
  <c r="AB153" i="11" s="1"/>
  <c r="AC150" i="11" s="1"/>
  <c r="AC153" i="11" s="1"/>
  <c r="AD150" i="11" s="1"/>
  <c r="AD153" i="11" s="1"/>
  <c r="AE150" i="11" s="1"/>
  <c r="AE153" i="11" s="1"/>
  <c r="AF150" i="11" s="1"/>
  <c r="AF153" i="11" s="1"/>
  <c r="AG150" i="11" s="1"/>
  <c r="AG153" i="11" s="1"/>
  <c r="AH150" i="11" s="1"/>
  <c r="AH153" i="11" s="1"/>
  <c r="AI150" i="11" s="1"/>
  <c r="AI153" i="11" s="1"/>
  <c r="AJ150" i="11" s="1"/>
  <c r="AJ153"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Tyler Leeds</author>
    <author>Jason Gifford</author>
  </authors>
  <commentList>
    <comment ref="G4" authorId="0" shapeId="0" xr:uid="{9AEA2C97-8FAD-4436-A08E-0554E6437B05}">
      <text>
        <r>
          <rPr>
            <b/>
            <sz val="14"/>
            <color indexed="81"/>
            <rFont val="Tahoma"/>
            <family val="2"/>
          </rPr>
          <t>Note:</t>
        </r>
        <r>
          <rPr>
            <sz val="14"/>
            <color indexed="81"/>
            <rFont val="Tahoma"/>
            <family val="2"/>
          </rPr>
          <t xml:space="preserve">
Enter the amount of liquid manure you have calculated in your manure management plan.  A lactating dairy cow will excrete around 20 gallons of manure/day.  A dry cow excretes around 11 gallons while a heifer excretes around 6 gallons/day.</t>
        </r>
      </text>
    </comment>
    <comment ref="G10" authorId="1" shapeId="0" xr:uid="{D5239AB4-9CEE-4B71-89D4-05D2530A50A3}">
      <text>
        <r>
          <rPr>
            <b/>
            <sz val="14"/>
            <color indexed="81"/>
            <rFont val="Tahoma"/>
            <family val="2"/>
          </rPr>
          <t xml:space="preserve">Note:
</t>
        </r>
        <r>
          <rPr>
            <sz val="14"/>
            <color indexed="81"/>
            <rFont val="Tahoma"/>
            <family val="2"/>
          </rPr>
          <t>This value may be what you are spending on bedding now that you can avoid by using this manure solids bedding instead of what you are using now.
The estimated volume of separated solids bedding is calculated in the Nutrient Inputs sheet.</t>
        </r>
      </text>
    </comment>
    <comment ref="G11" authorId="0" shapeId="0" xr:uid="{0A08DC1A-1ADE-45B4-9347-62E38A76AAB1}">
      <text>
        <r>
          <rPr>
            <b/>
            <sz val="14"/>
            <color indexed="81"/>
            <rFont val="Tahoma"/>
            <family val="2"/>
          </rPr>
          <t>Note:</t>
        </r>
        <r>
          <rPr>
            <sz val="14"/>
            <color indexed="81"/>
            <rFont val="Tahoma"/>
            <family val="2"/>
          </rPr>
          <t xml:space="preserve">
Cost of changes such as to reconfigure the farm so that trucks can collect manure and return digestate from the central digester.
</t>
        </r>
      </text>
    </comment>
    <comment ref="G13" authorId="1" shapeId="0" xr:uid="{226E8C75-BF30-4F0E-A555-DC48AB7DEF38}">
      <text>
        <r>
          <rPr>
            <b/>
            <sz val="14"/>
            <color indexed="81"/>
            <rFont val="Tahoma"/>
            <family val="2"/>
          </rPr>
          <t xml:space="preserve">Note:
</t>
        </r>
        <r>
          <rPr>
            <sz val="14"/>
            <color indexed="81"/>
            <rFont val="Tahoma"/>
            <family val="2"/>
          </rPr>
          <t xml:space="preserve"> 
Land that would benefit from the nutrients in the digestate and is available</t>
        </r>
      </text>
    </comment>
    <comment ref="G14" authorId="1" shapeId="0" xr:uid="{C4684741-448D-4EFD-859F-DC08747FC333}">
      <text>
        <r>
          <rPr>
            <b/>
            <sz val="14"/>
            <color indexed="81"/>
            <rFont val="Tahoma"/>
            <family val="2"/>
          </rPr>
          <t xml:space="preserve">Note:
</t>
        </r>
        <r>
          <rPr>
            <sz val="14"/>
            <color indexed="81"/>
            <rFont val="Tahoma"/>
            <family val="2"/>
          </rPr>
          <t>The number of applications/year becomes important for accounting for the P and K crop needs in relation to the P and K that needs to be land-applied/year.  The manure or digestate is assumed to be land-applied at an N-based rate, such as 140 lb/acre/year.  Double-cropped acres are assumed to be fertilized for each crop, so these acres are fertilized at 140 lb * 2 = 280 lb/acre/year.</t>
        </r>
      </text>
    </comment>
    <comment ref="G16" authorId="0" shapeId="0" xr:uid="{4C6DFBF1-EEE9-4C51-A213-21B6BCA438A1}">
      <text>
        <r>
          <rPr>
            <b/>
            <sz val="14"/>
            <color indexed="81"/>
            <rFont val="Tahoma"/>
            <family val="2"/>
          </rPr>
          <t>Note:</t>
        </r>
        <r>
          <rPr>
            <sz val="14"/>
            <color indexed="81"/>
            <rFont val="Tahoma"/>
            <family val="2"/>
          </rPr>
          <t xml:space="preserve">
This is site-specific.</t>
        </r>
      </text>
    </comment>
    <comment ref="G28" authorId="0" shapeId="0" xr:uid="{A87E8544-6C18-4337-B310-E480EDBB0842}">
      <text>
        <r>
          <rPr>
            <b/>
            <sz val="14"/>
            <color indexed="81"/>
            <rFont val="Tahoma"/>
            <family val="2"/>
          </rPr>
          <t>Note:</t>
        </r>
        <r>
          <rPr>
            <sz val="14"/>
            <color indexed="81"/>
            <rFont val="Tahoma"/>
            <family val="2"/>
          </rPr>
          <t xml:space="preserve">
These results are expressed as net present values and annualized net present values.  These values are transferred over from the Detailed_Cash_Flow sheet.  The formulas underlying these results can be viewed there.  The after-tax cash flows over the project life are summarized as net present values (NPV) discounted at the weighted average cost of capital (WAAC).  The WAAC is an average of the interest rate on term debt and the target after-tax rate of return on equity capital.  Those two rates are entered in the Key Inputs sheet.
The NPV, however, is a lump sum that may be difficult to interpret for those who are accustomed to seeing economic data on an annual or other periodic basis.  For improved clarity, the NPVs are also “annualized” to an annual basis akin to a mortgage payment, compounded at the WAAC.  Essentially, this “smooths out” the actual cash flows, which may vary year to year, to equivalent constant flows.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Jason Gifford</author>
    <author>Tyler Leeds</author>
  </authors>
  <commentList>
    <comment ref="C4" authorId="0" shapeId="0" xr:uid="{00000000-0006-0000-0100-000001000000}">
      <text>
        <r>
          <rPr>
            <sz val="14"/>
            <color indexed="81"/>
            <rFont val="Tahoma"/>
            <family val="2"/>
          </rPr>
          <t xml:space="preserve">The "Check" column evaluates whether or not values have been enterred in all required fields.  Green denotes an accepted entry in a required field or a calculation for which the minimum required precedents have been satisfied.  Red denotes the absence of an entry in a required field, or a calculation for which the minimum required precendents have NOT been satisfied.
</t>
        </r>
        <r>
          <rPr>
            <b/>
            <sz val="14"/>
            <color indexed="81"/>
            <rFont val="Tahoma"/>
            <family val="2"/>
          </rPr>
          <t>Please note</t>
        </r>
        <r>
          <rPr>
            <sz val="14"/>
            <color indexed="81"/>
            <rFont val="Tahoma"/>
            <family val="2"/>
          </rPr>
          <t xml:space="preserve"> that while the "Check" column ensures the population of all required fields, this column does NOT validate the magnitude of such entries.  It is the model user's responsibility to provide inputs which accurately represent the project being modeled.  In some cases, a range of typical values for a specified input are provided in that input's "Notes" cell.</t>
        </r>
      </text>
    </comment>
    <comment ref="H4" authorId="0" shapeId="0" xr:uid="{00000000-0006-0000-0100-000002000000}">
      <text>
        <r>
          <rPr>
            <sz val="14"/>
            <color indexed="81"/>
            <rFont val="Tahoma"/>
            <family val="2"/>
          </rPr>
          <t xml:space="preserve">Each cell in the "Notes" column provides a brief description of the input in the corresponding row, its application within the model, and (in some cases) the range of values that might be expected to populate that  input cell.  It is the model user's responsibility, however, to research and validate the applicability of, and appropriate value for, each input.
</t>
        </r>
        <r>
          <rPr>
            <sz val="8"/>
            <color indexed="81"/>
            <rFont val="Tahoma"/>
            <family val="2"/>
          </rPr>
          <t xml:space="preserve">
</t>
        </r>
      </text>
    </comment>
    <comment ref="L4" authorId="0" shapeId="0" xr:uid="{00000000-0006-0000-0100-000003000000}">
      <text>
        <r>
          <rPr>
            <sz val="14"/>
            <color indexed="81"/>
            <rFont val="Tahoma"/>
            <family val="2"/>
          </rPr>
          <t xml:space="preserve">The "Check" column evaluates whether or not values have been enterred in all required fields.  Green denotes an accepted entry in a required field or a calculation for which the minimum required precedents have been satisfied.  Red denotes the absence of an entry in a required field, or a calculation for which the minimum required precendents have NOT been satisfied.
</t>
        </r>
        <r>
          <rPr>
            <b/>
            <sz val="14"/>
            <color indexed="81"/>
            <rFont val="Tahoma"/>
            <family val="2"/>
          </rPr>
          <t>Please note</t>
        </r>
        <r>
          <rPr>
            <sz val="14"/>
            <color indexed="81"/>
            <rFont val="Tahoma"/>
            <family val="2"/>
          </rPr>
          <t xml:space="preserve"> that while the "Check" column ensures the population of all required fields, this column does NOT validate the magnitude of such entries.  It is the model user's responsibility to provide inputs which accurately represent the project being modeled.  In some cases, a range of typical values for a specified input are provided in that input's "Notes" cell.</t>
        </r>
      </text>
    </comment>
    <comment ref="F6" authorId="0" shapeId="0" xr:uid="{00000000-0006-0000-0100-000020000000}">
      <text>
        <r>
          <rPr>
            <b/>
            <sz val="8"/>
            <color indexed="81"/>
            <rFont val="Tahoma"/>
            <family val="2"/>
          </rPr>
          <t>See "unit" definitions at the bottom of this worksheet.</t>
        </r>
        <r>
          <rPr>
            <sz val="8"/>
            <color indexed="81"/>
            <rFont val="Tahoma"/>
            <family val="2"/>
          </rPr>
          <t xml:space="preserve">
</t>
        </r>
      </text>
    </comment>
    <comment ref="H6" authorId="0" shapeId="0" xr:uid="{618DFE7D-B4B3-4E0A-9726-D89CDECAE98D}">
      <text>
        <r>
          <rPr>
            <sz val="14"/>
            <color indexed="81"/>
            <rFont val="Tahoma"/>
            <family val="2"/>
          </rPr>
          <t xml:space="preserve">Each cell in the "Notes" column provides a brief description of the input in the corresponding row, its application within the model, and (in some cases) the range of values that might be expected to populate that  input cell.  It is the model user's responsibility, however, to research and validate the applicability of, and appropriate value for, each input.
</t>
        </r>
        <r>
          <rPr>
            <sz val="8"/>
            <color indexed="81"/>
            <rFont val="Tahoma"/>
            <family val="2"/>
          </rPr>
          <t xml:space="preserve">
</t>
        </r>
      </text>
    </comment>
    <comment ref="Q6" authorId="0" shapeId="0" xr:uid="{00000000-0006-0000-0100-00008B000000}">
      <text>
        <r>
          <rPr>
            <b/>
            <sz val="14"/>
            <color indexed="81"/>
            <rFont val="Tahoma"/>
            <family val="2"/>
          </rPr>
          <t xml:space="preserve">Note:
</t>
        </r>
        <r>
          <rPr>
            <sz val="14"/>
            <color indexed="81"/>
            <rFont val="Tahoma"/>
            <family val="2"/>
          </rPr>
          <t xml:space="preserve">Defines whether the project owner is a taxable or non-taxable entity. This determines the treatment of income taxes and other tax-related items.
</t>
        </r>
      </text>
    </comment>
    <comment ref="U6" authorId="0" shapeId="0" xr:uid="{00000000-0006-0000-0100-000004000000}">
      <text>
        <r>
          <rPr>
            <sz val="14"/>
            <color indexed="81"/>
            <rFont val="Tahoma"/>
            <family val="2"/>
          </rPr>
          <t>Each cell in the "Notes" column provides a brief description of the input in the corresponding row, its application within the model, and (in some cases) the range of values that might be expected to populate that  input cell. It is the model user's responsibility, however, to research and validate the applicability of, and appropriate value for, each input.</t>
        </r>
        <r>
          <rPr>
            <sz val="8"/>
            <color indexed="81"/>
            <rFont val="Tahoma"/>
            <family val="2"/>
          </rPr>
          <t xml:space="preserve">
</t>
        </r>
      </text>
    </comment>
    <comment ref="Q7" authorId="1" shapeId="0" xr:uid="{7D3EE819-C8F5-4E28-AE7F-C7B7AAFD2112}">
      <text>
        <r>
          <rPr>
            <b/>
            <sz val="14"/>
            <color indexed="81"/>
            <rFont val="Tahoma"/>
            <family val="2"/>
          </rPr>
          <t>Note:</t>
        </r>
        <r>
          <rPr>
            <sz val="14"/>
            <color indexed="81"/>
            <rFont val="Tahoma"/>
            <family val="2"/>
          </rPr>
          <t xml:space="preserve">
This is normally based on the marginal rate, or the federal tax bracket that the farm's income places it in.</t>
        </r>
      </text>
    </comment>
    <comment ref="Q8" authorId="0" shapeId="0" xr:uid="{00000000-0006-0000-0100-00008F000000}">
      <text>
        <r>
          <rPr>
            <b/>
            <sz val="14"/>
            <color indexed="81"/>
            <rFont val="Tahoma"/>
            <family val="2"/>
          </rPr>
          <t xml:space="preserve">Note:
</t>
        </r>
        <r>
          <rPr>
            <sz val="14"/>
            <color indexed="81"/>
            <rFont val="Tahoma"/>
            <family val="2"/>
          </rPr>
          <t xml:space="preserve">Defines whether depreciation and PTC benefits are monetized in the period in which they are generated ("as generated" option) or whether these benefits must be delayed until the project has sufficient tax liability to use these benefits without relying on a 3rd-party investor with tax liability external to the project ("carried forward" method).
</t>
        </r>
      </text>
    </comment>
    <comment ref="H9" authorId="1" shapeId="0" xr:uid="{00000000-0006-0000-0100-00001D000000}">
      <text>
        <r>
          <rPr>
            <b/>
            <sz val="14"/>
            <color indexed="81"/>
            <rFont val="Tahoma"/>
            <family val="2"/>
          </rPr>
          <t xml:space="preserve">Note:
</t>
        </r>
        <r>
          <rPr>
            <sz val="14"/>
            <color indexed="81"/>
            <rFont val="Tahoma"/>
            <family val="2"/>
          </rPr>
          <t>The Project Useful Life is the number of years that the project is expected to be fully operational, reliably delivering electricity to the grid, and generating revenue. This concept is different from the FIT Contract Length, which is administratively determined by policymakers. These two values may be the same if a FIT contract is offered for the project's entire expected useful life. This approach is likely to generate the lowest tariff rate, while successfully attracting investors to renewable energy projects.  
The CREST model is built for a maximum Project Useful Life of 30 years.
Input must be greater than 0 and less than or equal to 30.
This value will be site specific but reasonable inputs are likely to fall in the range of 10-30 years</t>
        </r>
      </text>
    </comment>
    <comment ref="Q9" authorId="1" shapeId="0" xr:uid="{4ABB6B19-2E53-4CB2-804D-7C626A84F304}">
      <text>
        <r>
          <rPr>
            <b/>
            <sz val="14"/>
            <color indexed="81"/>
            <rFont val="Tahoma"/>
            <family val="2"/>
          </rPr>
          <t>Note:</t>
        </r>
        <r>
          <rPr>
            <sz val="14"/>
            <color indexed="81"/>
            <rFont val="Tahoma"/>
            <family val="2"/>
          </rPr>
          <t xml:space="preserve">
This is normally based on the marginal rate, or the Pennsylvania or other state tax bracket that the farm's income places it in.</t>
        </r>
      </text>
    </comment>
    <comment ref="H10" authorId="1" shapeId="0" xr:uid="{19F3925C-C5EC-4363-B77A-BC43580E4ABD}">
      <text>
        <r>
          <rPr>
            <b/>
            <sz val="14"/>
            <color indexed="81"/>
            <rFont val="Tahoma"/>
            <family val="2"/>
          </rPr>
          <t>Note:</t>
        </r>
        <r>
          <rPr>
            <sz val="8"/>
            <color indexed="81"/>
            <rFont val="Tahoma"/>
            <family val="2"/>
          </rPr>
          <t xml:space="preserve">
</t>
        </r>
        <r>
          <rPr>
            <sz val="14"/>
            <color indexed="81"/>
            <rFont val="Tahoma"/>
            <family val="2"/>
          </rPr>
          <t xml:space="preserve">The "Decommissioning" item is the expected cost of removing the equipment at the end of the life.  Other inputs allow the user to specify if funds are set aside during the operating years  to use for this purpose.
</t>
        </r>
      </text>
    </comment>
    <comment ref="O10" authorId="0" shapeId="0" xr:uid="{00000000-0006-0000-0100-000089000000}">
      <text>
        <r>
          <rPr>
            <b/>
            <sz val="8"/>
            <color indexed="81"/>
            <rFont val="Tahoma"/>
            <family val="2"/>
          </rPr>
          <t>See "unit" definitions at the bottom of this worksheet.</t>
        </r>
        <r>
          <rPr>
            <sz val="8"/>
            <color indexed="81"/>
            <rFont val="Tahoma"/>
            <family val="2"/>
          </rPr>
          <t xml:space="preserve">
</t>
        </r>
      </text>
    </comment>
    <comment ref="Q10" authorId="0" shapeId="0" xr:uid="{00000000-0006-0000-0100-000091000000}">
      <text>
        <r>
          <rPr>
            <b/>
            <sz val="14"/>
            <color indexed="81"/>
            <rFont val="Tahoma"/>
            <family val="2"/>
          </rPr>
          <t xml:space="preserve">Note:
</t>
        </r>
        <r>
          <rPr>
            <sz val="14"/>
            <color indexed="81"/>
            <rFont val="Tahoma"/>
            <family val="2"/>
          </rPr>
          <t xml:space="preserve">Defines whether depreciation and PTC benefits are monetized in the period in which they are generated ("as generated" option) or whether these benefits must be delayed until the project has sufficient tax liability to use these benefits without relying on a 3rd-party investor with tax liability external to the project ("carried forward" method).
</t>
        </r>
      </text>
    </comment>
    <comment ref="H11" authorId="1" shapeId="0" xr:uid="{1C89150A-4CE5-4727-A14E-DFE29876ED08}">
      <text>
        <r>
          <rPr>
            <b/>
            <sz val="14"/>
            <color indexed="81"/>
            <rFont val="Tahoma"/>
            <family val="2"/>
          </rPr>
          <t>Note:</t>
        </r>
        <r>
          <rPr>
            <sz val="14"/>
            <color indexed="81"/>
            <rFont val="Tahoma"/>
            <family val="2"/>
          </rPr>
          <t xml:space="preserve">
This inflation rate is used to adjust the cash flows in the later years of the project, starting with the values you enter for year 1.  The inflation rate is anyone’s guess – the Federal Reserve’s target annual rate is 2 percent, but it has been higher recently.</t>
        </r>
      </text>
    </comment>
    <comment ref="Q11" authorId="0" shapeId="0" xr:uid="{00000000-0006-0000-0100-000093000000}">
      <text>
        <r>
          <rPr>
            <b/>
            <sz val="14"/>
            <color indexed="81"/>
            <rFont val="Tahoma"/>
            <family val="2"/>
          </rPr>
          <t xml:space="preserve">Note:
</t>
        </r>
        <r>
          <rPr>
            <sz val="14"/>
            <color indexed="81"/>
            <rFont val="Tahoma"/>
            <family val="2"/>
          </rPr>
          <t xml:space="preserve">Takes into account the interaction between federal and state tax rates. This is a calculated value.
</t>
        </r>
      </text>
    </comment>
    <comment ref="Q12" authorId="0" shapeId="0" xr:uid="{00000000-0006-0000-0100-000095000000}">
      <text>
        <r>
          <rPr>
            <b/>
            <sz val="14"/>
            <color indexed="81"/>
            <rFont val="Tahoma"/>
            <family val="2"/>
          </rPr>
          <t xml:space="preserve">Note:
</t>
        </r>
        <r>
          <rPr>
            <sz val="14"/>
            <color indexed="81"/>
            <rFont val="Tahoma"/>
            <family val="2"/>
          </rPr>
          <t>Depreciation accounts for the "use" of equipment for tax purposes. The depreciation inputs are provided in the table to the right and on the Complex Capital Costs tab when this option is selected.</t>
        </r>
      </text>
    </comment>
    <comment ref="F13" authorId="0" shapeId="0" xr:uid="{00000000-0006-0000-0100-000034000000}">
      <text>
        <r>
          <rPr>
            <b/>
            <sz val="8"/>
            <color indexed="81"/>
            <rFont val="Tahoma"/>
            <family val="2"/>
          </rPr>
          <t>See "unit" definitions at the bottom of this worksheet.</t>
        </r>
        <r>
          <rPr>
            <sz val="8"/>
            <color indexed="81"/>
            <rFont val="Tahoma"/>
            <family val="2"/>
          </rPr>
          <t xml:space="preserve">
</t>
        </r>
      </text>
    </comment>
    <comment ref="H15" authorId="1" shapeId="0" xr:uid="{00000000-0006-0000-0100-000038000000}">
      <text>
        <r>
          <rPr>
            <b/>
            <sz val="14"/>
            <color indexed="81"/>
            <rFont val="Tahoma"/>
            <family val="2"/>
          </rPr>
          <t>Note:</t>
        </r>
        <r>
          <rPr>
            <sz val="14"/>
            <color indexed="81"/>
            <rFont val="Tahoma"/>
            <family val="2"/>
          </rPr>
          <t xml:space="preserve">
If the user has obtained O&amp;M expense estimates from a third-party, it is critical to understand which costs have been included.
Routine O&amp;M would include - among others - the ongoing cost of obtaining daily, weekly or monthly production estimates based on weather and other factors.
Input value must be greater than zero.
</t>
        </r>
      </text>
    </comment>
    <comment ref="Q15" authorId="0" shapeId="0" xr:uid="{00000000-0006-0000-0100-000092000000}">
      <text>
        <r>
          <rPr>
            <b/>
            <sz val="14"/>
            <color indexed="81"/>
            <rFont val="Tahoma"/>
            <family val="2"/>
          </rPr>
          <t>Note:</t>
        </r>
        <r>
          <rPr>
            <sz val="14"/>
            <color indexed="81"/>
            <rFont val="Tahoma"/>
            <family val="2"/>
          </rPr>
          <t xml:space="preserve">
To qualify for Bonus Depreciation the property must have a recovery period of 20 years or less (under normal federal tax depreciation rules), and the project must commence operation in the year in which bonus depreciation is in effect and under the ownership of the entity claiming the deduction. 
For qualifying projects, the owner is entitled to deduct 50% of the adjusted basis of the property during the tax year the property is first placed in service. The remaining 50% of the adjusted basis of the property is depreciated over the ordinary MACRS depreciation schedule. The bonus depreciation rules do not override the depreciation limit applicable to projects qualifying for the federal ITC. Before calculating depreciation for such a project, including any bonus depreciation, the adjusted basis of the project must be reduced by one-half of the amount of the ITC for which the project qualifies. 
</t>
        </r>
      </text>
    </comment>
    <comment ref="H16" authorId="1" shapeId="0" xr:uid="{00000000-0006-0000-0100-000046000000}">
      <text>
        <r>
          <rPr>
            <b/>
            <sz val="14"/>
            <color indexed="81"/>
            <rFont val="Tahoma"/>
            <family val="2"/>
          </rPr>
          <t>Note:</t>
        </r>
        <r>
          <rPr>
            <sz val="14"/>
            <color indexed="81"/>
            <rFont val="Tahoma"/>
            <family val="2"/>
          </rPr>
          <t xml:space="preserve">
Some projects will use energy crops or accept feedstocks for no tipping fee but have to incur transportation costs for their delivery.  This input expressed that cost in $/ton.  It is NOT entered here but rather is calculated in the Switchgrass_key_inputs sheet and the Switchgrass_budget sheet.
</t>
        </r>
      </text>
    </comment>
    <comment ref="Q16" authorId="0" shapeId="0" xr:uid="{00000000-0006-0000-0100-000094000000}">
      <text>
        <r>
          <rPr>
            <b/>
            <sz val="14"/>
            <color indexed="81"/>
            <rFont val="Tahoma"/>
            <family val="2"/>
          </rPr>
          <t>Note:</t>
        </r>
        <r>
          <rPr>
            <sz val="14"/>
            <color indexed="81"/>
            <rFont val="Tahoma"/>
            <family val="2"/>
          </rPr>
          <t xml:space="preserve">
This input allows the user to define the bonus depreciation % applied in Year 1, if applicable.  Historically, federal bonus depreciation has been 50% of the eligible cost basis (after taking into account reductions in such cost basis for the ITC, if applicable).  
Input cannot be less than zero.
</t>
        </r>
      </text>
    </comment>
    <comment ref="H17" authorId="1" shapeId="0" xr:uid="{00000000-0006-0000-0100-00004A000000}">
      <text>
        <r>
          <rPr>
            <b/>
            <sz val="14"/>
            <color indexed="81"/>
            <rFont val="Tahoma"/>
            <family val="2"/>
          </rPr>
          <t>Note:</t>
        </r>
        <r>
          <rPr>
            <sz val="14"/>
            <color indexed="81"/>
            <rFont val="Tahoma"/>
            <family val="2"/>
          </rPr>
          <t xml:space="preserve">
Quantity of switchgrass utilized - measured in tons per year.
This value will be site specific.
</t>
        </r>
      </text>
    </comment>
    <comment ref="Q18" authorId="1" shapeId="0" xr:uid="{0CA6DD2A-CEFE-4E10-8A6C-2235F20704A8}">
      <text>
        <r>
          <rPr>
            <b/>
            <sz val="14"/>
            <color indexed="81"/>
            <rFont val="Tahoma"/>
            <family val="2"/>
          </rPr>
          <t>Note:</t>
        </r>
        <r>
          <rPr>
            <sz val="14"/>
            <color indexed="81"/>
            <rFont val="Tahoma"/>
            <family val="2"/>
          </rPr>
          <t xml:space="preserve">
One useful measure of financial feasibility of a major capital investment is the debt service coverage ratio (DSCR), calculated by dividing the sum of the annual principal and interest payment into that year's operating cash flow. Lenders will require the DSCR to demonstrate the project's ability to easily meet its annual debt service obligation.  A higher DSCR is preferred over a lower number.  For example, a DSCR of 1.0 would mean that just enough cash flow is available to cover the debt payments while a DSCR greater than 1.0 means that there is some cushion in the cash flow.
Average DSCRs over the life of the loan typically range from 1.2 to 1.5 for private, commercially financed projects, or from 1.1 to 1.3 for publicly owned, bond-financed projects - depending on the level of reserves, or other surety, provided. The input will vary by site and but will generally fall between 1.0 and 1.3.  The annual minimum DSCR will depend on the specific terms of the loan and the probability-weighting of the production estimate, but will likely be in the range of 1.3 to 1.5. This input must be greater than 1.
</t>
        </r>
      </text>
    </comment>
    <comment ref="F19" authorId="0" shapeId="0" xr:uid="{00000000-0006-0000-0100-00005F000000}">
      <text>
        <r>
          <rPr>
            <b/>
            <sz val="8"/>
            <color indexed="81"/>
            <rFont val="Tahoma"/>
            <family val="2"/>
          </rPr>
          <t>See "unit" definitions at the bottom of this worksheet.</t>
        </r>
        <r>
          <rPr>
            <sz val="8"/>
            <color indexed="81"/>
            <rFont val="Tahoma"/>
            <family val="2"/>
          </rPr>
          <t xml:space="preserve">
</t>
        </r>
      </text>
    </comment>
    <comment ref="Q19" authorId="0" shapeId="0" xr:uid="{00000000-0006-0000-0100-000071000000}">
      <text>
        <r>
          <rPr>
            <b/>
            <sz val="14"/>
            <color indexed="81"/>
            <rFont val="Tahoma"/>
            <family val="2"/>
          </rPr>
          <t>Note:</t>
        </r>
        <r>
          <rPr>
            <sz val="14"/>
            <color indexed="81"/>
            <rFont val="Tahoma"/>
            <family val="2"/>
          </rPr>
          <t xml:space="preserve">
If "#N/A" appears, F9 should be pressed until the calculated COE achieves it's final value.</t>
        </r>
      </text>
    </comment>
    <comment ref="H20" authorId="0" shapeId="0" xr:uid="{00000000-0006-0000-0100-000060000000}">
      <text>
        <r>
          <rPr>
            <b/>
            <sz val="14"/>
            <color indexed="81"/>
            <rFont val="Tahoma"/>
            <family val="2"/>
          </rPr>
          <t xml:space="preserve">Note:
</t>
        </r>
        <r>
          <rPr>
            <sz val="14"/>
            <color indexed="81"/>
            <rFont val="Tahoma"/>
            <family val="2"/>
          </rPr>
          <t>The # of months from construction start to commercial operation. This input cannot be less than zero.
This value will be site specific but reasonable inputs are likely to fall in the range of 6-12</t>
        </r>
      </text>
    </comment>
    <comment ref="Q20" authorId="1" shapeId="0" xr:uid="{00000000-0006-0000-0100-000073000000}">
      <text>
        <r>
          <rPr>
            <b/>
            <sz val="14"/>
            <color indexed="81"/>
            <rFont val="Tahoma"/>
            <family val="2"/>
          </rPr>
          <t>Note:</t>
        </r>
        <r>
          <rPr>
            <sz val="14"/>
            <color indexed="81"/>
            <rFont val="Tahoma"/>
            <family val="2"/>
          </rPr>
          <t xml:space="preserve">
This cell checks that the debt service coverage ratio exceeds the user-defined minimum in each operating year (see note in DSCR cell for definition and rationale for DSCR). If the test "fails", the user must cover the deficit from other farm cash flow in some years, or adjust the loan terms.</t>
        </r>
      </text>
    </comment>
    <comment ref="H21" authorId="0" shapeId="0" xr:uid="{00000000-0006-0000-0100-000062000000}">
      <text>
        <r>
          <rPr>
            <b/>
            <sz val="14"/>
            <color indexed="81"/>
            <rFont val="Tahoma"/>
            <family val="2"/>
          </rPr>
          <t xml:space="preserve">Note:
</t>
        </r>
        <r>
          <rPr>
            <sz val="14"/>
            <color indexed="81"/>
            <rFont val="Tahoma"/>
            <family val="2"/>
          </rPr>
          <t>The annual interest rate on construction debt. This input cannot be less than zero.
This value will be site specific but reasonable inputs are likely to fall in the range of 3-10%</t>
        </r>
      </text>
    </comment>
    <comment ref="Q21" authorId="1" shapeId="0" xr:uid="{00000000-0006-0000-0100-000075000000}">
      <text>
        <r>
          <rPr>
            <b/>
            <sz val="14"/>
            <color indexed="81"/>
            <rFont val="Tahoma"/>
            <family val="2"/>
          </rPr>
          <t>Note:</t>
        </r>
        <r>
          <rPr>
            <sz val="14"/>
            <color indexed="81"/>
            <rFont val="Tahoma"/>
            <family val="2"/>
          </rPr>
          <t xml:space="preserve">
The annual Debt Service Coverage Ratio is calculated by dividing the sum of the annual principal and interest payment into that year's operating cash flow. Lenders will require the DSCR to demonstrate the project's ability to easily meet its annual debt service obligation.
</t>
        </r>
        <r>
          <rPr>
            <u/>
            <sz val="14"/>
            <color indexed="81"/>
            <rFont val="Tahoma"/>
            <family val="2"/>
          </rPr>
          <t>Average</t>
        </r>
        <r>
          <rPr>
            <sz val="14"/>
            <color indexed="81"/>
            <rFont val="Tahoma"/>
            <family val="2"/>
          </rPr>
          <t xml:space="preserve"> DSCRs over the life of the loan typically range from 1.2 to 1.5 for private, commercially financed projects, or from 1.1 to 1.3 for publicly owned, bond-financed projects - depending on the level of reserves, or other surety, provided. The input will vary by site and but will generally fall between 1.0 and 1.3
The </t>
        </r>
        <r>
          <rPr>
            <u/>
            <sz val="14"/>
            <color indexed="81"/>
            <rFont val="Tahoma"/>
            <family val="2"/>
          </rPr>
          <t>annual minimum</t>
        </r>
        <r>
          <rPr>
            <sz val="14"/>
            <color indexed="81"/>
            <rFont val="Tahoma"/>
            <family val="2"/>
          </rPr>
          <t xml:space="preserve"> DSCR will depend on the specific terms of the loan and the probability-weighting of the production estimate, but will likely be in the range of 1.3 to 1.5. This input must be greater than 1.
</t>
        </r>
      </text>
    </comment>
    <comment ref="H22" authorId="0" shapeId="0" xr:uid="{00000000-0006-0000-0100-000064000000}">
      <text>
        <r>
          <rPr>
            <b/>
            <sz val="14"/>
            <color indexed="81"/>
            <rFont val="Tahoma"/>
            <family val="2"/>
          </rPr>
          <t xml:space="preserve">Note:
</t>
        </r>
        <r>
          <rPr>
            <sz val="14"/>
            <color indexed="81"/>
            <rFont val="Tahoma"/>
            <family val="2"/>
          </rPr>
          <t xml:space="preserve">A calculated value showing the interest accrued during the construction period. Rather than requiring the user to define a detailed construction draw-down schedule, this calculation makes the simplifying assumption that the total project cost is spent in equal parts in each month of the construction period.
IDC is calculated on total project cost, assuming that any grants are collected after construction financing is repaid at time of permanent financing.
This cell is only used with the "Intermediate" and "Complex" capital cost options. The "Simple" capital cost option assumes that all project costs, including IDC, are included in the single input.
</t>
        </r>
      </text>
    </comment>
    <comment ref="Q22" authorId="0" shapeId="0" xr:uid="{00000000-0006-0000-0100-000077000000}">
      <text>
        <r>
          <rPr>
            <b/>
            <sz val="12"/>
            <color indexed="81"/>
            <rFont val="Tahoma"/>
            <family val="2"/>
          </rPr>
          <t>Note:</t>
        </r>
        <r>
          <rPr>
            <sz val="12"/>
            <color indexed="81"/>
            <rFont val="Tahoma"/>
            <family val="2"/>
          </rPr>
          <t xml:space="preserve">
If "#N/A" appears, F9 should be pressed until the calculated COE achieves it's final value.</t>
        </r>
      </text>
    </comment>
    <comment ref="Q23" authorId="1" shapeId="0" xr:uid="{00000000-0006-0000-0100-000079000000}">
      <text>
        <r>
          <rPr>
            <b/>
            <sz val="14"/>
            <color indexed="81"/>
            <rFont val="Tahoma"/>
            <family val="2"/>
          </rPr>
          <t>Note:</t>
        </r>
        <r>
          <rPr>
            <sz val="14"/>
            <color indexed="81"/>
            <rFont val="Tahoma"/>
            <family val="2"/>
          </rPr>
          <t xml:space="preserve">
This cell checks that the average debt service coverage ratio exceeds the user-defined minimum during the period for which debt is outstanding (see note in DSCR cell for definition and rationale for DSCR). If the test "fails", the user must choose from one of several options in order to cure this deficiency (the extent to which these options are available will be specific to each project):
1. reduce the amount of project level debt, 
2. increase the feed-in tariff rate in order to generate cash flow sufficient to meet the bank's assumed coverage requirement.  In the CREST model, </t>
        </r>
        <r>
          <rPr>
            <u/>
            <sz val="14"/>
            <color indexed="81"/>
            <rFont val="Tahoma"/>
            <family val="2"/>
          </rPr>
          <t>this is done by manually increasing the "Target After-Tax Equity IRR."</t>
        </r>
        <r>
          <rPr>
            <sz val="14"/>
            <color indexed="81"/>
            <rFont val="Tahoma"/>
            <family val="2"/>
          </rPr>
          <t xml:space="preserve">
Other possible, but less likely, mechanisms include:
3. increase the loan tenor
4. decrease the interest rate</t>
        </r>
      </text>
    </comment>
    <comment ref="F24" authorId="0" shapeId="0" xr:uid="{00000000-0006-0000-0100-000067000000}">
      <text>
        <r>
          <rPr>
            <b/>
            <sz val="8"/>
            <color indexed="81"/>
            <rFont val="Tahoma"/>
            <family val="2"/>
          </rPr>
          <t>See "unit" definitions at the bottom of this worksheet.</t>
        </r>
        <r>
          <rPr>
            <sz val="8"/>
            <color indexed="81"/>
            <rFont val="Tahoma"/>
            <family val="2"/>
          </rPr>
          <t xml:space="preserve">
</t>
        </r>
      </text>
    </comment>
    <comment ref="H25" authorId="1" shapeId="0" xr:uid="{2C3F89D2-37AF-4A2C-8726-D7E17DD4216E}">
      <text>
        <r>
          <rPr>
            <b/>
            <sz val="14"/>
            <color indexed="81"/>
            <rFont val="Tahoma"/>
            <family val="2"/>
          </rPr>
          <t>Note:</t>
        </r>
        <r>
          <rPr>
            <sz val="14"/>
            <color indexed="81"/>
            <rFont val="Tahoma"/>
            <family val="2"/>
          </rPr>
          <t xml:space="preserve">
Enter the terms of any loan received for the project.</t>
        </r>
      </text>
    </comment>
    <comment ref="H26" authorId="1" shapeId="0" xr:uid="{5ADC5C5A-0430-4318-B7E0-03F103D579AC}">
      <text>
        <r>
          <rPr>
            <b/>
            <sz val="14"/>
            <color indexed="81"/>
            <rFont val="Tahoma"/>
            <family val="2"/>
          </rPr>
          <t>Note:</t>
        </r>
        <r>
          <rPr>
            <sz val="14"/>
            <color indexed="81"/>
            <rFont val="Tahoma"/>
            <family val="2"/>
          </rPr>
          <t xml:space="preserve">
Enter the terms of any loan received for the project.</t>
        </r>
      </text>
    </comment>
    <comment ref="H27" authorId="1" shapeId="0" xr:uid="{C3448ADA-5773-417F-A145-46856923A009}">
      <text>
        <r>
          <rPr>
            <b/>
            <sz val="14"/>
            <color indexed="81"/>
            <rFont val="Tahoma"/>
            <family val="2"/>
          </rPr>
          <t>Note:</t>
        </r>
        <r>
          <rPr>
            <sz val="14"/>
            <color indexed="81"/>
            <rFont val="Tahoma"/>
            <family val="2"/>
          </rPr>
          <t xml:space="preserve">
Enter the terms of any loan received for the project.</t>
        </r>
      </text>
    </comment>
    <comment ref="H28" authorId="0" shapeId="0" xr:uid="{00000000-0006-0000-0100-00006D000000}">
      <text>
        <r>
          <rPr>
            <b/>
            <sz val="14"/>
            <color indexed="81"/>
            <rFont val="Tahoma"/>
            <family val="2"/>
          </rPr>
          <t xml:space="preserve">Note:
</t>
        </r>
        <r>
          <rPr>
            <sz val="14"/>
            <color indexed="81"/>
            <rFont val="Tahoma"/>
            <family val="2"/>
          </rPr>
          <t>A one-time fee collected by the lender and calculated as a % of the total loan amount. This value is typically between 1% and 4%.
This input cannot be less than zero.
This value will be site specific but reasonable inputs are likely to fall in the range of 1.0-5.0%</t>
        </r>
      </text>
    </comment>
    <comment ref="H29" authorId="0" shapeId="0" xr:uid="{098B8831-EDED-4F6A-A6DC-2DEBC73255C7}">
      <text>
        <r>
          <rPr>
            <b/>
            <sz val="14"/>
            <color indexed="81"/>
            <rFont val="Tahoma"/>
            <family val="2"/>
          </rPr>
          <t xml:space="preserve">Note:
</t>
        </r>
        <r>
          <rPr>
            <sz val="14"/>
            <color indexed="81"/>
            <rFont val="Tahoma"/>
            <family val="2"/>
          </rPr>
          <t>A one-time fee collected by the lender and calculated as a % of the total loan amount. This value is typically between 1% and 4%.
This input cannot be less than zero.
This value will be site specific but reasonable inputs are likely to fall in the range of 1.0-5.0%</t>
        </r>
      </text>
    </comment>
    <comment ref="H30" authorId="0" shapeId="0" xr:uid="{00000000-0006-0000-0100-00007F000000}">
      <text>
        <r>
          <rPr>
            <b/>
            <sz val="14"/>
            <color indexed="81"/>
            <rFont val="Tahoma"/>
            <family val="2"/>
          </rPr>
          <t xml:space="preserve">Note:
</t>
        </r>
        <r>
          <rPr>
            <sz val="14"/>
            <color indexed="81"/>
            <rFont val="Tahoma"/>
            <family val="2"/>
          </rPr>
          <t>This cell represents the costs of both equity and debt due diligence (if applicable) and other transaction costs.
Input cannot be less than zero.</t>
        </r>
      </text>
    </comment>
    <comment ref="H35" authorId="1" shapeId="0" xr:uid="{00000000-0006-0000-0100-000085000000}">
      <text>
        <r>
          <rPr>
            <b/>
            <sz val="14"/>
            <color indexed="81"/>
            <rFont val="Tahoma"/>
            <family val="2"/>
          </rPr>
          <t xml:space="preserve">Note:
</t>
        </r>
        <r>
          <rPr>
            <sz val="14"/>
            <color indexed="81"/>
            <rFont val="Tahoma"/>
            <family val="2"/>
          </rPr>
          <t xml:space="preserve">This cell calculates the total of all applicable grants, excluding the payment in lieu of the Federal ITC (also known as the ITC Cash Grant, or Cash Grant), if applicable.  The ITC Cash Grant is considered separately because unlike grants issued upfront and used to offset capital costs, the ITC Cash Grant is disbursed approxiamtely 60 days after the start of commercial operations and therefore becomes an integral part of the project's financing.
Where grants are treated as taxable income, this cell calculates the after-tax impact on the total cost of the project.
  </t>
        </r>
        <r>
          <rPr>
            <sz val="8"/>
            <color indexed="81"/>
            <rFont val="Tahoma"/>
            <family val="2"/>
          </rPr>
          <t xml:space="preserve">
</t>
        </r>
      </text>
    </comment>
    <comment ref="H36" authorId="0" shapeId="0" xr:uid="{00000000-0006-0000-0100-000084000000}">
      <text>
        <r>
          <rPr>
            <b/>
            <sz val="14"/>
            <color indexed="81"/>
            <rFont val="Tahoma"/>
            <family val="2"/>
          </rPr>
          <t xml:space="preserve">NOTE:
</t>
        </r>
        <r>
          <rPr>
            <sz val="14"/>
            <color indexed="81"/>
            <rFont val="Tahoma"/>
            <family val="2"/>
          </rPr>
          <t xml:space="preserve">The "sources of funding" cells summarize the amount of capital contributed from equity, debt and grants, if applicable. The sum is the same as the project's "Total Installed Cost."
</t>
        </r>
      </text>
    </comment>
    <comment ref="H37" authorId="1" shapeId="0" xr:uid="{00000000-0006-0000-0100-000030000000}">
      <text>
        <r>
          <rPr>
            <b/>
            <sz val="14"/>
            <color indexed="81"/>
            <rFont val="Tahoma"/>
            <family val="2"/>
          </rPr>
          <t>Note:</t>
        </r>
        <r>
          <rPr>
            <sz val="14"/>
            <color indexed="81"/>
            <rFont val="Tahoma"/>
            <family val="2"/>
          </rPr>
          <t xml:space="preserve">
The total system cost is a calculation, based on the level of detail selected and the assocated inputs.
</t>
        </r>
      </text>
    </comment>
    <comment ref="H38" authorId="1" shapeId="0" xr:uid="{0F585DF4-705F-43B7-945E-BF0A8ABCAE6C}">
      <text>
        <r>
          <rPr>
            <b/>
            <sz val="14"/>
            <color indexed="81"/>
            <rFont val="Tahoma"/>
            <family val="2"/>
          </rPr>
          <t>Note:</t>
        </r>
        <r>
          <rPr>
            <sz val="14"/>
            <color indexed="81"/>
            <rFont val="Tahoma"/>
            <family val="2"/>
          </rPr>
          <t xml:space="preserve">
The total system cost is a calculation, based on the level of detail selected and the assocated inputs.
</t>
        </r>
      </text>
    </comment>
    <comment ref="H39" authorId="0" shapeId="0" xr:uid="{00000000-0006-0000-0100-000087000000}">
      <text>
        <r>
          <rPr>
            <b/>
            <sz val="14"/>
            <color indexed="81"/>
            <rFont val="Tahoma"/>
            <family val="2"/>
          </rPr>
          <t xml:space="preserve">NOTE:
</t>
        </r>
        <r>
          <rPr>
            <sz val="14"/>
            <color indexed="81"/>
            <rFont val="Tahoma"/>
            <family val="2"/>
          </rPr>
          <t xml:space="preserve">The "sources of funding" cells summarize the amount of capital contributed from equity, debt and grants, if applicable. The sum is the same as the project's "Total Installed Cost."
</t>
        </r>
      </text>
    </comment>
    <comment ref="H42" authorId="1" shapeId="0" xr:uid="{A95D0133-86D5-4125-91AC-A7B1BD402017}">
      <text>
        <r>
          <rPr>
            <b/>
            <sz val="14"/>
            <color indexed="81"/>
            <rFont val="Tahoma"/>
            <family val="2"/>
          </rPr>
          <t>Note:</t>
        </r>
        <r>
          <rPr>
            <sz val="14"/>
            <color indexed="81"/>
            <rFont val="Tahoma"/>
            <family val="2"/>
          </rPr>
          <t xml:space="preserve">
This is the rate of return that the farm operator requires from the project for it to be considered "successful".  This rate can be based on various criteria such as what this capital would earn elsewhere in the farm business, as well as on how risky this project is considered to be.</t>
        </r>
      </text>
    </comment>
    <comment ref="H45" authorId="0" shapeId="0" xr:uid="{00000000-0006-0000-0100-00007E000000}">
      <text>
        <r>
          <rPr>
            <b/>
            <sz val="14"/>
            <color indexed="81"/>
            <rFont val="Tahoma"/>
            <family val="2"/>
          </rPr>
          <t xml:space="preserve">Note:
</t>
        </r>
        <r>
          <rPr>
            <sz val="14"/>
            <color indexed="81"/>
            <rFont val="Tahoma"/>
            <family val="2"/>
          </rPr>
          <t xml:space="preserve">The weighted average cost of capital combines the after-tax cost of both equity and debt in proportion to their use, and is calculated here for reference.
</t>
        </r>
      </text>
    </comment>
    <comment ref="Q74" authorId="0" shapeId="0" xr:uid="{00000000-0006-0000-0100-00003C000000}">
      <text>
        <r>
          <rPr>
            <b/>
            <sz val="14"/>
            <color indexed="81"/>
            <rFont val="Tahoma"/>
            <family val="2"/>
          </rPr>
          <t>Note:</t>
        </r>
        <r>
          <rPr>
            <sz val="14"/>
            <color indexed="81"/>
            <rFont val="Tahoma"/>
            <family val="2"/>
          </rPr>
          <t xml:space="preserve">
This inflation rate applies to both fixed and variable O&amp;M expense, insurance, and project management costs entered above, if applicable. 
The model allows the user to specify an inflation assumption for an "initial period" and a second inflation assumption "thereafter." These inputs can be used to account for inflation which might be fixed during an initial O&amp;M service contract, but are unknown thereafter.  The final year of the "initial period" is  user-defined (e.g. final year of an O&amp;M service contract). 
The purpose of this feature is also to recognize that inflationary trends may change over time, or that some projects may not expect inflation of O&amp;M expenses for the first several years, but may expect inflation thereafter.
This inflation rate does not apply to PILOT or Royalty costs. Input cannot be less than zero.
</t>
        </r>
      </text>
    </comment>
    <comment ref="Q75" authorId="0" shapeId="0" xr:uid="{00000000-0006-0000-0100-000048000000}">
      <text>
        <r>
          <rPr>
            <b/>
            <sz val="14"/>
            <color indexed="81"/>
            <rFont val="Tahoma"/>
            <family val="2"/>
          </rPr>
          <t xml:space="preserve">Note:
</t>
        </r>
        <r>
          <rPr>
            <sz val="14"/>
            <color indexed="81"/>
            <rFont val="Tahoma"/>
            <family val="2"/>
          </rPr>
          <t xml:space="preserve">This cell provides the inflation rate for the remainder of the project's useful life.
Input must be greater than zero.
</t>
        </r>
      </text>
    </comment>
    <comment ref="Q77" authorId="0" shapeId="0" xr:uid="{00000000-0006-0000-0100-00008D000000}">
      <text>
        <r>
          <rPr>
            <b/>
            <sz val="14"/>
            <color indexed="81"/>
            <rFont val="Tahoma"/>
            <family val="2"/>
          </rPr>
          <t xml:space="preserve">Note:
</t>
        </r>
        <r>
          <rPr>
            <sz val="14"/>
            <color indexed="81"/>
            <rFont val="Tahoma"/>
            <family val="2"/>
          </rPr>
          <t xml:space="preserve">Defines the project's federal income tax rate, if applicable.
Input cannot be less than zero.
</t>
        </r>
      </text>
    </comment>
    <comment ref="Q78" authorId="0" shapeId="0" xr:uid="{00000000-0006-0000-0100-000090000000}">
      <text>
        <r>
          <rPr>
            <b/>
            <sz val="14"/>
            <color indexed="81"/>
            <rFont val="Tahoma"/>
            <family val="2"/>
          </rPr>
          <t xml:space="preserve">Note:
</t>
        </r>
        <r>
          <rPr>
            <sz val="14"/>
            <color indexed="81"/>
            <rFont val="Tahoma"/>
            <family val="2"/>
          </rPr>
          <t xml:space="preserve">Defines the project's state income tax rate, if applicable.
Input cannot be less than zero.
</t>
        </r>
      </text>
    </comment>
    <comment ref="Q79" authorId="1" shapeId="0" xr:uid="{7A421771-A7E5-4EF6-98C3-80493AAEAF7B}">
      <text>
        <r>
          <rPr>
            <b/>
            <sz val="14"/>
            <color indexed="81"/>
            <rFont val="Tahoma"/>
            <family val="2"/>
          </rPr>
          <t>Note:</t>
        </r>
        <r>
          <rPr>
            <sz val="14"/>
            <color indexed="81"/>
            <rFont val="Tahoma"/>
            <family val="2"/>
          </rPr>
          <t xml:space="preserve">
The target after-tax equity IRR is the equity investor's cost of capital -- or "discount rate" -- and is the minimum rate of return that the project owner will seek to attain in order to justify the project compared to alternative investments.  The CREST model assumes a single equity investor taking both cash and tax benefits.  As a result, the target after-tax equity IRR entered here should represent a blend of expected returns for both cash and tax equity investments.
The user should be explicit in his or her assumption regarding the term over which the target after-tax IRR is assumed to be realized. For example, the user could elect to align the return requirement with the tariff payment duration. In this case, the project useful life should be set equal to the tariff duration in order to calculate the Cost of Energy (COE) associated with the target IRR over that period of time. 
In a second example, the user could elect to align the return requirement with the project's useful life. In this case, the user can either assume a tariff duration equal to the project life, or assume market-based revenue for the period after the tariff and before the end of the assumed project useful life.
This input cannot be less than zero.
If a project is expected to be funded either by a pool of corporate funds or back-leveraged after commercial operation, the user might elect to enter 0% in the "% Debt" cell and enter a weighted average cost of capital (WACC) in the "Target After-Tax Equity IRR" cell.
This value will be site specific but reasonable inputs are likely to fall in the range of 5%-20%</t>
        </r>
      </text>
    </comment>
    <comment ref="Q80" authorId="1" shapeId="0" xr:uid="{00000000-0006-0000-0100-00006F000000}">
      <text>
        <r>
          <rPr>
            <b/>
            <sz val="14"/>
            <color indexed="81"/>
            <rFont val="Tahoma"/>
            <family val="2"/>
          </rPr>
          <t>Note:</t>
        </r>
        <r>
          <rPr>
            <sz val="14"/>
            <color indexed="81"/>
            <rFont val="Tahoma"/>
            <family val="2"/>
          </rPr>
          <t xml:space="preserve">
The annual Debt Service Coverage Ratio is calculated by dividing the sum of the annual principal and interest payment into that year's operating cash flow. Lenders will require the DSCR to demonstrate the project's ability to easily meet its annual debt service obligation.
</t>
        </r>
        <r>
          <rPr>
            <u/>
            <sz val="14"/>
            <color indexed="81"/>
            <rFont val="Tahoma"/>
            <family val="2"/>
          </rPr>
          <t>Average</t>
        </r>
        <r>
          <rPr>
            <sz val="14"/>
            <color indexed="81"/>
            <rFont val="Tahoma"/>
            <family val="2"/>
          </rPr>
          <t xml:space="preserve"> DSCRs over the life of the loan typically range from 1.2 to 1.5 for private, commercially financed projects, or from 1.1 to 1.3 for publicly owned, bond-financed projects - depending on the level of reserves, or other surety, provided. The input will vary by site and but will generally fall between 1.0 and 1.3
The </t>
        </r>
        <r>
          <rPr>
            <u/>
            <sz val="14"/>
            <color indexed="81"/>
            <rFont val="Tahoma"/>
            <family val="2"/>
          </rPr>
          <t>annual minimum</t>
        </r>
        <r>
          <rPr>
            <sz val="14"/>
            <color indexed="81"/>
            <rFont val="Tahoma"/>
            <family val="2"/>
          </rPr>
          <t xml:space="preserve"> DSCR will depend on the specific terms of the loan and the probability-weighting of the production estimate, but will likely be in the range of 1.3 to 1.5. This input must be greater than 1.
</t>
        </r>
      </text>
    </comment>
    <comment ref="Q82" authorId="0" shapeId="0" xr:uid="{00000000-0006-0000-0100-000069000000}">
      <text>
        <r>
          <rPr>
            <b/>
            <sz val="14"/>
            <color indexed="81"/>
            <rFont val="Tahoma"/>
            <family val="2"/>
          </rPr>
          <t xml:space="preserve">Note:
</t>
        </r>
        <r>
          <rPr>
            <sz val="14"/>
            <color indexed="81"/>
            <rFont val="Tahoma"/>
            <family val="2"/>
          </rPr>
          <t xml:space="preserve">For ease of use and comprehension by a wide range of stakeholders, this model allows the user to define the capital structure, and relies on mortgage-style amortization of the project debt. The "% Debt" input specifies the portion of funds borrowed, as a percentage of the total "hard costs." Equity is assumed to fund the remaining hard costs PLUS all "soft costs" (e.g. transaction costs and funding of initial reserve accounts, if applicable).  This input cannot be less than zero.
Where maximum sustainable leverage is desired, the user must manually adjust the "% Debt" entry upward to the highest point </t>
        </r>
        <r>
          <rPr>
            <b/>
            <i/>
            <sz val="14"/>
            <color indexed="81"/>
            <rFont val="Tahoma"/>
            <family val="2"/>
          </rPr>
          <t>before</t>
        </r>
        <r>
          <rPr>
            <sz val="14"/>
            <color indexed="81"/>
            <rFont val="Tahoma"/>
            <family val="2"/>
          </rPr>
          <t xml:space="preserve"> the DSCRs no longer "Pass."
If a specific % Debt is desired, </t>
        </r>
        <r>
          <rPr>
            <u/>
            <sz val="14"/>
            <color indexed="81"/>
            <rFont val="Tahoma"/>
            <family val="2"/>
          </rPr>
          <t>and such % is higher than the maximum sustainable debt</t>
        </r>
        <r>
          <rPr>
            <sz val="14"/>
            <color indexed="81"/>
            <rFont val="Tahoma"/>
            <family val="2"/>
          </rPr>
          <t xml:space="preserve"> (such that it causes the DSCR to "Fail"), then the user must define the % Debt and then manually adjust the "Target After-Tax Equity IRR" upward until the DSCRs are met.  The user should </t>
        </r>
        <r>
          <rPr>
            <b/>
            <sz val="14"/>
            <color indexed="81"/>
            <rFont val="Tahoma"/>
            <family val="2"/>
          </rPr>
          <t>take note</t>
        </r>
        <r>
          <rPr>
            <sz val="14"/>
            <color indexed="81"/>
            <rFont val="Tahoma"/>
            <family val="2"/>
          </rPr>
          <t xml:space="preserve"> that when leverage becomes very high (and the corresponding equity contribution low), the "Target After-Tax Equity IRR" will need to be adjusted to levels exceeding typical commercial returns </t>
        </r>
        <r>
          <rPr>
            <u/>
            <sz val="14"/>
            <color indexed="81"/>
            <rFont val="Tahoma"/>
            <family val="2"/>
          </rPr>
          <t>in order to maintain the DSCR ratio</t>
        </r>
        <r>
          <rPr>
            <sz val="14"/>
            <color indexed="81"/>
            <rFont val="Tahoma"/>
            <family val="2"/>
          </rPr>
          <t xml:space="preserve"> on such high debt levels.  For this reason, it is not recommended that users solve for the Cost of Energy (COE) associated with a % Debt that is beyond the maximum sustainable leverage.
If a project is expected to be funded either by a pool of corporate funds or back-leveraged after commercial operation, the user might elect to enter 0% in the "% Debt" cell and enter a weighted average cost of capital (WACC) in the "Target After-Tax Equity IRR" cell.
This value will be site specific and will fall somewhere between 0 and 100%.
</t>
        </r>
      </text>
    </comment>
    <comment ref="Q83" authorId="1" shapeId="0" xr:uid="{00000000-0006-0000-0100-00006A000000}">
      <text>
        <r>
          <rPr>
            <b/>
            <sz val="14"/>
            <color indexed="81"/>
            <rFont val="Tahoma"/>
            <family val="2"/>
          </rPr>
          <t>Note:</t>
        </r>
        <r>
          <rPr>
            <sz val="14"/>
            <color indexed="81"/>
            <rFont val="Tahoma"/>
            <family val="2"/>
          </rPr>
          <t xml:space="preserve">
Debt "tenor" (also casually referred to as "term"), is the number of years in the debt repayment schedule.   
Caution: If the project will utilize debt, this value must be greater than zero but less than or equal to the total FIT contract duration.
This value will be site specific but reasonable inputs are likely to fall in the range of 10-20
</t>
        </r>
      </text>
    </comment>
    <comment ref="Q84" authorId="1" shapeId="0" xr:uid="{A72EDC8C-867B-4DC1-BA0A-66E66E32A4FD}">
      <text>
        <r>
          <rPr>
            <b/>
            <sz val="14"/>
            <color indexed="81"/>
            <rFont val="Tahoma"/>
            <family val="2"/>
          </rPr>
          <t>Note:</t>
        </r>
        <r>
          <rPr>
            <sz val="14"/>
            <color indexed="81"/>
            <rFont val="Tahoma"/>
            <family val="2"/>
          </rPr>
          <t xml:space="preserve">
The all-in interest rate is the financing rate provided by the bank or other debt investor.
This input cannot be less than zero.
This value will be site specific but reasonable inputs are likely to fall in the range of 4%-10%</t>
        </r>
      </text>
    </comment>
    <comment ref="Z107" authorId="0" shapeId="0" xr:uid="{00000000-0006-0000-0100-000096000000}">
      <text>
        <r>
          <rPr>
            <b/>
            <sz val="14"/>
            <color indexed="81"/>
            <rFont val="Tahoma"/>
            <family val="2"/>
          </rPr>
          <t>Note:</t>
        </r>
        <r>
          <rPr>
            <sz val="14"/>
            <color indexed="81"/>
            <rFont val="Tahoma"/>
            <family val="2"/>
          </rPr>
          <t xml:space="preserve">
When the "Simple" capital cost option is selected, the depreciation of total project costs is divided among the classifications using this row. The depreciation options associated with other levels of cost detail will be hidden.
</t>
        </r>
        <r>
          <rPr>
            <b/>
            <sz val="14"/>
            <color indexed="81"/>
            <rFont val="Tahoma"/>
            <family val="2"/>
          </rPr>
          <t xml:space="preserve">This row must sum to 100%.
</t>
        </r>
      </text>
    </comment>
    <comment ref="Z108" authorId="0" shapeId="0" xr:uid="{00000000-0006-0000-0100-00009B000000}">
      <text>
        <r>
          <rPr>
            <b/>
            <sz val="14"/>
            <color indexed="81"/>
            <rFont val="Tahoma"/>
            <family val="2"/>
          </rPr>
          <t>Note:</t>
        </r>
        <r>
          <rPr>
            <sz val="14"/>
            <color indexed="81"/>
            <rFont val="Tahoma"/>
            <family val="2"/>
          </rPr>
          <t xml:space="preserve">
When the "Intermediate" capital cost option is selected, the allocation of the specified cost category across the depreciation classifications is done using this row. The depreciation options associated with other levels of cost detail will be hidden.
</t>
        </r>
        <r>
          <rPr>
            <b/>
            <sz val="14"/>
            <color indexed="81"/>
            <rFont val="Tahoma"/>
            <family val="2"/>
          </rPr>
          <t xml:space="preserve">This row must sum to 100%.
</t>
        </r>
      </text>
    </comment>
    <comment ref="Z109" authorId="0" shapeId="0" xr:uid="{00000000-0006-0000-0100-00009C000000}">
      <text>
        <r>
          <rPr>
            <b/>
            <sz val="14"/>
            <color indexed="81"/>
            <rFont val="Tahoma"/>
            <family val="2"/>
          </rPr>
          <t>Note:</t>
        </r>
        <r>
          <rPr>
            <sz val="14"/>
            <color indexed="81"/>
            <rFont val="Tahoma"/>
            <family val="2"/>
          </rPr>
          <t xml:space="preserve">
When the "Complex" capital cost option is selected, each line items is assigned its own depreciation classification using a drop-down menu on the Complex Capital Costs tab.
</t>
        </r>
      </text>
    </comment>
    <comment ref="O141" authorId="0" shapeId="0" xr:uid="{00000000-0006-0000-0100-000006000000}">
      <text>
        <r>
          <rPr>
            <b/>
            <sz val="8"/>
            <color indexed="81"/>
            <rFont val="Tahoma"/>
            <family val="2"/>
          </rPr>
          <t>See "unit" definitions at the bottom of this worksheet.</t>
        </r>
        <r>
          <rPr>
            <sz val="8"/>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Tyler Leeds</author>
    <author>Jason Gifford</author>
    <author>William F Lazarus</author>
  </authors>
  <commentList>
    <comment ref="F3" authorId="0" shapeId="0" xr:uid="{F4A30746-187F-46FA-A611-B9F46380A3C9}">
      <text>
        <r>
          <rPr>
            <b/>
            <sz val="14"/>
            <color indexed="81"/>
            <rFont val="Tahoma"/>
            <family val="2"/>
          </rPr>
          <t>Note:</t>
        </r>
        <r>
          <rPr>
            <sz val="14"/>
            <color indexed="81"/>
            <rFont val="Tahoma"/>
            <family val="2"/>
          </rPr>
          <t xml:space="preserve">
Enter the amount of liquid manure you have calculated in your manure management plan.  </t>
        </r>
      </text>
    </comment>
    <comment ref="F4" authorId="1" shapeId="0" xr:uid="{FC4EEED9-5C62-47E7-AA0F-4623CB82FEC8}">
      <text>
        <r>
          <rPr>
            <b/>
            <sz val="14"/>
            <color indexed="81"/>
            <rFont val="Tahoma"/>
            <family val="2"/>
          </rPr>
          <t xml:space="preserve">Note:
</t>
        </r>
        <r>
          <rPr>
            <sz val="14"/>
            <color indexed="81"/>
            <rFont val="Tahoma"/>
            <family val="2"/>
          </rPr>
          <t>A manure analysis will provide this information.  It is helpful in estimating the impact of digestion and solids separation on the volumes of digestate, filtrate, and separated solids.</t>
        </r>
      </text>
    </comment>
    <comment ref="F5" authorId="1" shapeId="0" xr:uid="{B146F3A9-1588-4092-BDA6-A57907AEE268}">
      <text>
        <r>
          <rPr>
            <b/>
            <sz val="14"/>
            <color indexed="81"/>
            <rFont val="Tahoma"/>
            <family val="2"/>
          </rPr>
          <t xml:space="preserve">Note:
</t>
        </r>
        <r>
          <rPr>
            <sz val="14"/>
            <color indexed="81"/>
            <rFont val="Tahoma"/>
            <family val="2"/>
          </rPr>
          <t>This volume is based on total pounds of P and pounds of P/1,000 gallons of digestate liquid shown below.</t>
        </r>
      </text>
    </comment>
    <comment ref="F8" authorId="1" shapeId="0" xr:uid="{D1CA3B2A-3128-4774-AEB6-5293EF6786CE}">
      <text>
        <r>
          <rPr>
            <b/>
            <sz val="14"/>
            <color indexed="81"/>
            <rFont val="Tahoma"/>
            <family val="2"/>
          </rPr>
          <t xml:space="preserve">Note:
</t>
        </r>
        <r>
          <rPr>
            <sz val="14"/>
            <color indexed="81"/>
            <rFont val="Tahoma"/>
            <family val="2"/>
          </rPr>
          <t>Total of the separator filtrate and the wet solid digestate.</t>
        </r>
      </text>
    </comment>
    <comment ref="F12" authorId="1" shapeId="0" xr:uid="{9941E97C-93D5-4421-8890-1361DF23126B}">
      <text>
        <r>
          <rPr>
            <b/>
            <sz val="14"/>
            <color indexed="81"/>
            <rFont val="Tahoma"/>
            <family val="2"/>
          </rPr>
          <t xml:space="preserve">Note:
</t>
        </r>
        <r>
          <rPr>
            <sz val="14"/>
            <color indexed="81"/>
            <rFont val="Tahoma"/>
            <family val="2"/>
          </rPr>
          <t>This volume is based on total pounds of P and pounds of P/ton of bedding shown below.</t>
        </r>
      </text>
    </comment>
    <comment ref="F17" authorId="1" shapeId="0" xr:uid="{CE550E8C-CB87-4316-9508-002B035AB5AF}">
      <text>
        <r>
          <rPr>
            <b/>
            <sz val="14"/>
            <color indexed="81"/>
            <rFont val="Tahoma"/>
            <family val="2"/>
          </rPr>
          <t xml:space="preserve">Note:
</t>
        </r>
        <r>
          <rPr>
            <sz val="14"/>
            <color indexed="81"/>
            <rFont val="Tahoma"/>
            <family val="2"/>
          </rPr>
          <t>Manure solids bedding is often used to bed free stalls.  It then often moves into liquid manure that goes back into the digester.  This bedding is NOT added to the cropland nutrient balance because it is accounted for in the manure nutrients. On the other hand, bedding used in a bedded pack and spread as undigested solid manure IS added to the cropland nutrient balance.</t>
        </r>
      </text>
    </comment>
    <comment ref="F18" authorId="1" shapeId="0" xr:uid="{918ADF2F-96FA-47F0-9C39-58FB46997981}">
      <text>
        <r>
          <rPr>
            <b/>
            <sz val="14"/>
            <color indexed="81"/>
            <rFont val="Tahoma"/>
            <family val="2"/>
          </rPr>
          <t xml:space="preserve">Note:
</t>
        </r>
        <r>
          <rPr>
            <sz val="14"/>
            <color indexed="81"/>
            <rFont val="Tahoma"/>
            <family val="2"/>
          </rPr>
          <t>If these estimates are not available from your digester project developer, another source is information from the Michigan State University campus digester.  The default data here is from slide 18 of an October 20,2022 presentation by Wei Liao, available at https://engineering.purdue.edu/adt/workshop/221020/liao1.pdf</t>
        </r>
      </text>
    </comment>
    <comment ref="F21" authorId="1" shapeId="0" xr:uid="{FACAF8AE-DB0E-4AD3-A26A-6726E19F7B39}">
      <text>
        <r>
          <rPr>
            <b/>
            <sz val="14"/>
            <color indexed="81"/>
            <rFont val="Tahoma"/>
            <family val="2"/>
          </rPr>
          <t xml:space="preserve">Note:
</t>
        </r>
        <r>
          <rPr>
            <sz val="14"/>
            <color indexed="81"/>
            <rFont val="Tahoma"/>
            <family val="2"/>
          </rPr>
          <t>If these estimates are not available from your digester project developer, another source is information from the Michigan State University campus digester.</t>
        </r>
      </text>
    </comment>
    <comment ref="F23" authorId="1" shapeId="0" xr:uid="{0F9166AE-8D17-4232-BAA3-9AB89353A53F}">
      <text>
        <r>
          <rPr>
            <b/>
            <sz val="14"/>
            <color indexed="81"/>
            <rFont val="Tahoma"/>
            <family val="2"/>
          </rPr>
          <t xml:space="preserve">Note:
</t>
        </r>
        <r>
          <rPr>
            <sz val="14"/>
            <color indexed="81"/>
            <rFont val="Tahoma"/>
            <family val="2"/>
          </rPr>
          <t>This should be 100% unless some N exits the digester in the biogas.</t>
        </r>
      </text>
    </comment>
    <comment ref="F24" authorId="1" shapeId="0" xr:uid="{058E666C-CFFA-4074-8AF4-B12ABAEA8265}">
      <text>
        <r>
          <rPr>
            <b/>
            <sz val="14"/>
            <color indexed="81"/>
            <rFont val="Tahoma"/>
            <family val="2"/>
          </rPr>
          <t xml:space="preserve">Note:
</t>
        </r>
        <r>
          <rPr>
            <sz val="14"/>
            <color indexed="81"/>
            <rFont val="Tahoma"/>
            <family val="2"/>
          </rPr>
          <t>Aguirre-Villegas et al. shows that around 125% more ammonium N exits the digester than enters in the feedstock, but the percentage needed here will depend on the percentage of total N in the feedstock that is already in ammonium form.</t>
        </r>
      </text>
    </comment>
    <comment ref="I31" authorId="0" shapeId="0" xr:uid="{9E8447E2-A594-4F3C-BE28-8B3209236883}">
      <text>
        <r>
          <rPr>
            <b/>
            <sz val="14"/>
            <color indexed="81"/>
            <rFont val="Tahoma"/>
            <family val="2"/>
          </rPr>
          <t>Note:</t>
        </r>
        <r>
          <rPr>
            <sz val="14"/>
            <color indexed="81"/>
            <rFont val="Tahoma"/>
            <family val="2"/>
          </rPr>
          <t xml:space="preserve">
The cost of spreading manure per unit will normally be similar to what you would incur for raw manure, but if you will be bringing in food waste that increases the total volume to be applied, this will add to the total annual spreading cost.</t>
        </r>
      </text>
    </comment>
    <comment ref="I32" authorId="0" shapeId="0" xr:uid="{A4A58983-2149-44EF-9D12-E608279197EC}">
      <text>
        <r>
          <rPr>
            <b/>
            <sz val="14"/>
            <color indexed="81"/>
            <rFont val="Tahoma"/>
            <family val="2"/>
          </rPr>
          <t>Note:</t>
        </r>
        <r>
          <rPr>
            <sz val="14"/>
            <color indexed="81"/>
            <rFont val="Tahoma"/>
            <family val="2"/>
          </rPr>
          <t xml:space="preserve">
The cost of spreading manure per unit will normally be similar to what you would incur for raw manure, but if you will be bringing in food waste that increases the total volume to be applied, this will add to the total annual spreading cost.</t>
        </r>
      </text>
    </comment>
    <comment ref="I35" authorId="0" shapeId="0" xr:uid="{2DACF003-A4C9-43C3-8810-E3198F3232D2}">
      <text>
        <r>
          <rPr>
            <b/>
            <sz val="14"/>
            <color indexed="81"/>
            <rFont val="Tahoma"/>
            <family val="2"/>
          </rPr>
          <t>Note:</t>
        </r>
        <r>
          <rPr>
            <sz val="14"/>
            <color indexed="81"/>
            <rFont val="Tahoma"/>
            <family val="2"/>
          </rPr>
          <t xml:space="preserve">
The cost of spreading solid manure is only relevant if the farm handles part of the manure as a solid and uses manure solids from the project's solids separator there.  If the separated solids add to the total volume to be spread, that will probably add cost to the project.  On the other hand, if the manure solids replace other bedding, no longer paying for that bedding would represent a cost savings benefit of the project.</t>
        </r>
      </text>
    </comment>
    <comment ref="F38" authorId="1" shapeId="0" xr:uid="{BD28FA2E-E24A-470B-B7B1-CF99065F4763}">
      <text>
        <r>
          <rPr>
            <b/>
            <sz val="14"/>
            <color indexed="81"/>
            <rFont val="Tahoma"/>
            <family val="2"/>
          </rPr>
          <t xml:space="preserve">Note:
</t>
        </r>
        <r>
          <rPr>
            <sz val="14"/>
            <color indexed="81"/>
            <rFont val="Tahoma"/>
            <family val="2"/>
          </rPr>
          <t xml:space="preserve">Manure solids from the manure solids separator is sometimes used to replace other bedding materials such as corn stover used in a bedded pack.  Enter the cost savings here that result from not having to collect that corn stover or to acquire other bedding.
</t>
        </r>
      </text>
    </comment>
    <comment ref="I40" authorId="1" shapeId="0" xr:uid="{CD02B80E-7189-49E4-A5F2-6336CD3E9FF5}">
      <text>
        <r>
          <rPr>
            <b/>
            <sz val="14"/>
            <color indexed="81"/>
            <rFont val="Tahoma"/>
            <family val="2"/>
          </rPr>
          <t xml:space="preserve">Note:
</t>
        </r>
        <r>
          <rPr>
            <sz val="14"/>
            <color indexed="81"/>
            <rFont val="Tahoma"/>
            <family val="2"/>
          </rPr>
          <t>A manure analysis will provide this information.  It is helpful in estimating the potential fertilizer value of the digestate, filtrate, and separated solids if applied to cropland.</t>
        </r>
      </text>
    </comment>
    <comment ref="D41" authorId="2" shapeId="0" xr:uid="{067C39D8-D48A-4051-A78F-DB8690F975E5}">
      <text>
        <r>
          <rPr>
            <b/>
            <sz val="9"/>
            <color indexed="81"/>
            <rFont val="Tahoma"/>
            <family val="2"/>
          </rPr>
          <t>William F Lazarus:</t>
        </r>
        <r>
          <rPr>
            <sz val="9"/>
            <color indexed="81"/>
            <rFont val="Tahoma"/>
            <family val="2"/>
          </rPr>
          <t xml:space="preserve">
From nutrient mgmt plan, nutrient lb/1000 gal 
</t>
        </r>
      </text>
    </comment>
    <comment ref="G41" authorId="2" shapeId="0" xr:uid="{14C0C4B2-1545-4F21-B48A-6AFD1A5B58A3}">
      <text>
        <r>
          <rPr>
            <b/>
            <sz val="9"/>
            <color indexed="81"/>
            <rFont val="Tahoma"/>
            <family val="2"/>
          </rPr>
          <t>William F Lazarus:</t>
        </r>
        <r>
          <rPr>
            <sz val="9"/>
            <color indexed="81"/>
            <rFont val="Tahoma"/>
            <family val="2"/>
          </rPr>
          <t xml:space="preserve">
From nutrient mgmt plan, nutrient lb/1000 gal 
</t>
        </r>
      </text>
    </comment>
    <comment ref="H41" authorId="2" shapeId="0" xr:uid="{9965525C-F0A3-4995-93FC-98C1EAD45C8B}">
      <text>
        <r>
          <rPr>
            <b/>
            <sz val="9"/>
            <color indexed="81"/>
            <rFont val="Tahoma"/>
            <family val="2"/>
          </rPr>
          <t>William F Lazarus:</t>
        </r>
        <r>
          <rPr>
            <sz val="9"/>
            <color indexed="81"/>
            <rFont val="Tahoma"/>
            <family val="2"/>
          </rPr>
          <t xml:space="preserve">
From nutrient mgmt plan, nutrient lb/1000 gal 
</t>
        </r>
      </text>
    </comment>
    <comment ref="I41" authorId="1" shapeId="0" xr:uid="{E4EBBB76-6EEF-449B-89AD-4C63480B6542}">
      <text>
        <r>
          <rPr>
            <b/>
            <sz val="14"/>
            <color indexed="81"/>
            <rFont val="Tahoma"/>
            <family val="2"/>
          </rPr>
          <t xml:space="preserve">Note:
</t>
        </r>
        <r>
          <rPr>
            <sz val="14"/>
            <color indexed="81"/>
            <rFont val="Tahoma"/>
            <family val="2"/>
          </rPr>
          <t>This will be site-specific.  It is helpful in estimating the potential fertilizer value of the digestate, filtrate, and separated solids if applied to cropland.</t>
        </r>
      </text>
    </comment>
    <comment ref="I42" authorId="1" shapeId="0" xr:uid="{E933483E-0082-41B9-9289-24744882F48D}">
      <text>
        <r>
          <rPr>
            <b/>
            <sz val="14"/>
            <color indexed="81"/>
            <rFont val="Tahoma"/>
            <family val="2"/>
          </rPr>
          <t xml:space="preserve">Note:
</t>
        </r>
        <r>
          <rPr>
            <sz val="14"/>
            <color indexed="81"/>
            <rFont val="Tahoma"/>
            <family val="2"/>
          </rPr>
          <t>This assumes that the N, P, and K weights do not change during digestion.  Calculated based on the feedstock nutrients adjusted during digestion and solids separation, minus nutrients in the wet solid digestate.</t>
        </r>
      </text>
    </comment>
    <comment ref="I44" authorId="1" shapeId="0" xr:uid="{DA78FF2F-4F21-4310-9C20-AF8076B074C5}">
      <text>
        <r>
          <rPr>
            <b/>
            <sz val="14"/>
            <color indexed="81"/>
            <rFont val="Tahoma"/>
            <family val="2"/>
          </rPr>
          <t xml:space="preserve">Note:
</t>
        </r>
        <r>
          <rPr>
            <sz val="14"/>
            <color indexed="81"/>
            <rFont val="Tahoma"/>
            <family val="2"/>
          </rPr>
          <t>If you are paid by the digester operator to accept nutrients back to your cropland for application, enter the payment as a positive price ($/lb) in the next line for each nutrient.  
If you are charged for the nutrients, enter the amounts you are charged as negative numbers (-$/lb) in the next line for each nutrient.  
If you are neither paid or charged for the nutrients, enter zeros in the next line.</t>
        </r>
      </text>
    </comment>
    <comment ref="D46" authorId="2" shapeId="0" xr:uid="{45AADCBA-776A-4E03-B4C3-0418DB7EE14C}">
      <text>
        <r>
          <rPr>
            <b/>
            <sz val="9"/>
            <color indexed="81"/>
            <rFont val="Tahoma"/>
            <family val="2"/>
          </rPr>
          <t>William F Lazarus:</t>
        </r>
        <r>
          <rPr>
            <sz val="9"/>
            <color indexed="81"/>
            <rFont val="Tahoma"/>
            <family val="2"/>
          </rPr>
          <t xml:space="preserve">
assumes November harvest, from Wilson et al., 2013
</t>
        </r>
      </text>
    </comment>
    <comment ref="E46" authorId="2" shapeId="0" xr:uid="{11D6C534-26D4-4B60-860E-D4776628A5E5}">
      <text>
        <r>
          <rPr>
            <b/>
            <sz val="9"/>
            <color indexed="81"/>
            <rFont val="Tahoma"/>
            <family val="2"/>
          </rPr>
          <t>William F Lazarus:</t>
        </r>
        <r>
          <rPr>
            <sz val="9"/>
            <color indexed="81"/>
            <rFont val="Tahoma"/>
            <family val="2"/>
          </rPr>
          <t xml:space="preserve">
My assumption - Wilson et al. doesn't break this out from total N.</t>
        </r>
      </text>
    </comment>
    <comment ref="G46" authorId="2" shapeId="0" xr:uid="{897BDC56-6535-46FF-89E5-729BA40A8F30}">
      <text>
        <r>
          <rPr>
            <b/>
            <sz val="9"/>
            <color indexed="81"/>
            <rFont val="Tahoma"/>
            <family val="2"/>
          </rPr>
          <t>William F Lazarus:</t>
        </r>
        <r>
          <rPr>
            <sz val="9"/>
            <color indexed="81"/>
            <rFont val="Tahoma"/>
            <family val="2"/>
          </rPr>
          <t xml:space="preserve">
from Vogel et al., 2017</t>
        </r>
      </text>
    </comment>
    <comment ref="H46" authorId="2" shapeId="0" xr:uid="{76E6274A-E0E8-41E0-8BA8-60B3AFE573E8}">
      <text>
        <r>
          <rPr>
            <b/>
            <sz val="9"/>
            <color indexed="81"/>
            <rFont val="Tahoma"/>
            <family val="2"/>
          </rPr>
          <t>William F Lazarus:</t>
        </r>
        <r>
          <rPr>
            <sz val="9"/>
            <color indexed="81"/>
            <rFont val="Tahoma"/>
            <family val="2"/>
          </rPr>
          <t xml:space="preserve">
from Vogel et al., 2017</t>
        </r>
      </text>
    </comment>
    <comment ref="I49" authorId="1" shapeId="0" xr:uid="{49DAB046-1CAA-48E7-B94B-5572D12C21F4}">
      <text>
        <r>
          <rPr>
            <b/>
            <sz val="14"/>
            <color indexed="81"/>
            <rFont val="Tahoma"/>
            <family val="2"/>
          </rPr>
          <t xml:space="preserve">Note:
</t>
        </r>
        <r>
          <rPr>
            <sz val="14"/>
            <color indexed="81"/>
            <rFont val="Tahoma"/>
            <family val="2"/>
          </rPr>
          <t>Defaults from Aguirre-Villegas et al., % ts * g/kg.  Soil test recommendations will provide this information.  The problem is that the values will probably vary from field to field and between crops.  So, an average over all of the fields receiving manure is ideal, or just enter a typical value otherwise.  The perspective taken here is that the digestate or filtrate applied only has economic value if replaces commercial fertilizer that would have been applied otherwise to achieve the same yields.</t>
        </r>
      </text>
    </comment>
    <comment ref="I50" authorId="1" shapeId="0" xr:uid="{EC6A2774-AAA4-4FCF-B3B6-53D3BBB6AE8C}">
      <text>
        <r>
          <rPr>
            <b/>
            <sz val="14"/>
            <color indexed="81"/>
            <rFont val="Tahoma"/>
            <family val="2"/>
          </rPr>
          <t xml:space="preserve">Note:
</t>
        </r>
        <r>
          <rPr>
            <sz val="14"/>
            <color indexed="81"/>
            <rFont val="Tahoma"/>
            <family val="2"/>
          </rPr>
          <t>Availability to the first year crop after application.  Add the availability to the second year crop if that crop can use the nutrients.  
This availability is for the no-digester scenario where the raw manure is applied to cropland rather than being digested.</t>
        </r>
      </text>
    </comment>
    <comment ref="I51" authorId="1" shapeId="0" xr:uid="{361238D6-3283-40A3-AD2C-9CFAA4ACFFFF}">
      <text>
        <r>
          <rPr>
            <b/>
            <sz val="14"/>
            <color indexed="81"/>
            <rFont val="Tahoma"/>
            <family val="2"/>
          </rPr>
          <t xml:space="preserve">Note:
</t>
        </r>
        <r>
          <rPr>
            <sz val="14"/>
            <color indexed="81"/>
            <rFont val="Tahoma"/>
            <family val="2"/>
          </rPr>
          <t xml:space="preserve">Availability to the first year crop after application.  Add the availability to the second year crop if that crop can use the nutrients.  </t>
        </r>
      </text>
    </comment>
    <comment ref="I52" authorId="1" shapeId="0" xr:uid="{F0F90A5C-5873-4B84-9091-86F9485F92EB}">
      <text>
        <r>
          <rPr>
            <b/>
            <sz val="14"/>
            <color indexed="81"/>
            <rFont val="Tahoma"/>
            <family val="2"/>
          </rPr>
          <t xml:space="preserve">Note:
</t>
        </r>
        <r>
          <rPr>
            <sz val="14"/>
            <color indexed="81"/>
            <rFont val="Tahoma"/>
            <family val="2"/>
          </rPr>
          <t>Availability to the first year crop after application.  Add the availability to the second year crop if that crop can use the nutrients.  
The nutrient availability of the wet solids will depend on how they are utilized.  If used to bed freestalls where it will go back into the digester, it may eventually be applied as a liquid. If used in a bedded pack or applied to cropland directly from the separator, it may be applied similar to a solid manure.</t>
        </r>
      </text>
    </comment>
    <comment ref="I56" authorId="1" shapeId="0" xr:uid="{20728034-5FF0-4F8F-BE24-F0E424B69717}">
      <text>
        <r>
          <rPr>
            <b/>
            <sz val="14"/>
            <color indexed="81"/>
            <rFont val="Tahoma"/>
            <family val="2"/>
          </rPr>
          <t xml:space="preserve">Note:
</t>
        </r>
        <r>
          <rPr>
            <sz val="14"/>
            <color indexed="81"/>
            <rFont val="Tahoma"/>
            <family val="2"/>
          </rPr>
          <t>Enter the cost per lb of nutrient if you needed to purchase commercial fertilizer to supply them, and will be avoided because of applying the filtrate and/or wet solid digestate.
Default prices updated on 3/23/23 based on USDA-AMS prices for Iowa.</t>
        </r>
      </text>
    </comment>
    <comment ref="G57" authorId="2" shapeId="0" xr:uid="{65B88140-0F71-428A-BEA7-7E13CF23B497}">
      <text>
        <r>
          <rPr>
            <b/>
            <sz val="9"/>
            <color indexed="81"/>
            <rFont val="Tahoma"/>
            <family val="2"/>
          </rPr>
          <t>William F Lazarus:</t>
        </r>
        <r>
          <rPr>
            <sz val="9"/>
            <color indexed="81"/>
            <rFont val="Tahoma"/>
            <family val="2"/>
          </rPr>
          <t xml:space="preserve">
The typical first-year P need for the fields was 30 lb/acre.  If applying manure twice/year, this will translate to 60 lb/acre/year.</t>
        </r>
      </text>
    </comment>
    <comment ref="I57" authorId="1" shapeId="0" xr:uid="{B9187ADF-932A-4231-8E5B-71394776A0BC}">
      <text>
        <r>
          <rPr>
            <b/>
            <sz val="14"/>
            <color indexed="81"/>
            <rFont val="Tahoma"/>
            <family val="2"/>
          </rPr>
          <t xml:space="preserve">Note:
</t>
        </r>
        <r>
          <rPr>
            <sz val="14"/>
            <color indexed="81"/>
            <rFont val="Tahoma"/>
            <family val="2"/>
          </rPr>
          <t>Soil test recommendations will provide this information.  The problem is that the values will probably vary from field to field and between crops.  So, an average over all of the fields receiving manure is ideal, or just enter a typical value otherwise.  The perspective taken here is that the digestate or filtrate applied only has economic value if replaces commercial fertilizer that would have been applied otherwise to achieve the same yields.</t>
        </r>
      </text>
    </comment>
    <comment ref="I58" authorId="1" shapeId="0" xr:uid="{06113A2D-A406-44E0-A118-0368F811B8B6}">
      <text>
        <r>
          <rPr>
            <b/>
            <sz val="14"/>
            <color indexed="81"/>
            <rFont val="Tahoma"/>
            <family val="2"/>
          </rPr>
          <t xml:space="preserve">Note:
</t>
        </r>
        <r>
          <rPr>
            <sz val="14"/>
            <color indexed="81"/>
            <rFont val="Tahoma"/>
            <family val="2"/>
          </rPr>
          <t xml:space="preserve">P or K amounts below the crop needs entered above will need to be supplied from commercial fertilizer.  P or K amounts above the crop needs represent surplus nutrients.  One suggestion would be to reduce the application rate to one based on P rather than N, and make up the difference in N from commercial fertilizer. </t>
        </r>
      </text>
    </comment>
    <comment ref="I59" authorId="1" shapeId="0" xr:uid="{9A4592E1-3F62-4640-B784-100CCBC99E87}">
      <text>
        <r>
          <rPr>
            <b/>
            <sz val="14"/>
            <color indexed="81"/>
            <rFont val="Tahoma"/>
            <family val="2"/>
          </rPr>
          <t xml:space="preserve">Note:
</t>
        </r>
        <r>
          <rPr>
            <sz val="14"/>
            <color indexed="81"/>
            <rFont val="Tahoma"/>
            <family val="2"/>
          </rPr>
          <t xml:space="preserve">P or K amounts below the crop needs entered above will need to be supplied from commercial fertilizer.  P or K amounts above the crop needs represent surplus nutrients.  One suggestion would be to reduce the application rate to one based on P rather than N, and make up the difference in N from commercial fertilizer. </t>
        </r>
      </text>
    </comment>
    <comment ref="G63" authorId="1" shapeId="0" xr:uid="{520EA1EA-66B3-4C20-AF8D-CBCA023BF81F}">
      <text>
        <r>
          <rPr>
            <b/>
            <sz val="14"/>
            <color indexed="81"/>
            <rFont val="Tahoma"/>
            <family val="2"/>
          </rPr>
          <t xml:space="preserve">Note:
</t>
        </r>
        <r>
          <rPr>
            <sz val="14"/>
            <color indexed="81"/>
            <rFont val="Tahoma"/>
            <family val="2"/>
          </rPr>
          <t>Calculated by dividing the volume of raw manure or filtrate by the application rate.</t>
        </r>
      </text>
    </comment>
    <comment ref="G64" authorId="1" shapeId="0" xr:uid="{7CABA09E-F8BD-4BB4-B98E-46BA98E6114E}">
      <text>
        <r>
          <rPr>
            <b/>
            <sz val="14"/>
            <color indexed="81"/>
            <rFont val="Tahoma"/>
            <family val="2"/>
          </rPr>
          <t xml:space="preserve">Note:
</t>
        </r>
        <r>
          <rPr>
            <sz val="14"/>
            <color indexed="81"/>
            <rFont val="Tahoma"/>
            <family val="2"/>
          </rPr>
          <t>Calculated by dividing the nutrient weight in the raw manujre or filtrate by the filtrate volume.</t>
        </r>
      </text>
    </comment>
    <comment ref="G72" authorId="1" shapeId="0" xr:uid="{883808C0-00A0-48B5-82B9-63926B7DD798}">
      <text>
        <r>
          <rPr>
            <b/>
            <sz val="14"/>
            <color indexed="81"/>
            <rFont val="Tahoma"/>
            <family val="2"/>
          </rPr>
          <t xml:space="preserve">Note:
</t>
        </r>
        <r>
          <rPr>
            <sz val="14"/>
            <color indexed="81"/>
            <rFont val="Tahoma"/>
            <family val="2"/>
          </rPr>
          <t>Calculated by dividing the nutrient weight in the wet solids by the wet solids volume.</t>
        </r>
      </text>
    </comment>
    <comment ref="G73" authorId="1" shapeId="0" xr:uid="{B50BCC7D-8575-4BA4-BA47-806688A6AEA0}">
      <text>
        <r>
          <rPr>
            <b/>
            <sz val="14"/>
            <color indexed="81"/>
            <rFont val="Tahoma"/>
            <family val="2"/>
          </rPr>
          <t xml:space="preserve">Note:
</t>
        </r>
        <r>
          <rPr>
            <sz val="14"/>
            <color indexed="81"/>
            <rFont val="Tahoma"/>
            <family val="2"/>
          </rPr>
          <t>Calculated by dividing the volume of wet solids by the application rate.</t>
        </r>
      </text>
    </comment>
    <comment ref="G75" authorId="1" shapeId="0" xr:uid="{D477D9C1-5267-4F68-A311-D4DA0AEB4734}">
      <text>
        <r>
          <rPr>
            <b/>
            <sz val="14"/>
            <color indexed="81"/>
            <rFont val="Tahoma"/>
            <family val="2"/>
          </rPr>
          <t xml:space="preserve">Note:
</t>
        </r>
        <r>
          <rPr>
            <sz val="14"/>
            <color indexed="81"/>
            <rFont val="Tahoma"/>
            <family val="2"/>
          </rPr>
          <t>The difference, if positive, indicates that more land will be needed for land application than without the addition of the food waste.</t>
        </r>
      </text>
    </comment>
    <comment ref="G77" authorId="1" shapeId="0" xr:uid="{C0F3784A-F616-4673-9C19-FABAFFC589A8}">
      <text>
        <r>
          <rPr>
            <b/>
            <sz val="14"/>
            <color indexed="81"/>
            <rFont val="Tahoma"/>
            <family val="2"/>
          </rPr>
          <t xml:space="preserve">Note:
</t>
        </r>
        <r>
          <rPr>
            <sz val="14"/>
            <color indexed="81"/>
            <rFont val="Tahoma"/>
            <family val="2"/>
          </rPr>
          <t>The difference, if positive, indicates that more land will be needed for land application than without the addition of the food waste.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William F Lazarus</author>
  </authors>
  <commentList>
    <comment ref="C43" authorId="0" shapeId="0" xr:uid="{87E3E1C6-3652-46E6-BE5E-4B4735C3D64E}">
      <text>
        <r>
          <rPr>
            <b/>
            <sz val="9"/>
            <color indexed="81"/>
            <rFont val="Tahoma"/>
            <family val="2"/>
          </rPr>
          <t>William F Lazarus:</t>
        </r>
        <r>
          <rPr>
            <sz val="9"/>
            <color indexed="81"/>
            <rFont val="Tahoma"/>
            <family val="2"/>
          </rPr>
          <t xml:space="preserve">
iowa 8/22
</t>
        </r>
      </text>
    </comment>
    <comment ref="B44" authorId="0" shapeId="0" xr:uid="{82A4B756-16C0-40E4-BFC3-88DE80C4F0D9}">
      <text>
        <r>
          <rPr>
            <b/>
            <sz val="9"/>
            <color indexed="81"/>
            <rFont val="Tahoma"/>
            <family val="2"/>
          </rPr>
          <t>William F Lazarus:</t>
        </r>
        <r>
          <rPr>
            <sz val="9"/>
            <color indexed="81"/>
            <rFont val="Tahoma"/>
            <family val="2"/>
          </rPr>
          <t xml:space="preserve">
From nutrient mgmt plan, nutrient lb/1000 gal 
</t>
        </r>
      </text>
    </comment>
    <comment ref="C44" authorId="0" shapeId="0" xr:uid="{4ACB4912-EC05-4F3E-A36A-73DD5E70FFA0}">
      <text>
        <r>
          <rPr>
            <b/>
            <sz val="9"/>
            <color indexed="81"/>
            <rFont val="Tahoma"/>
            <family val="2"/>
          </rPr>
          <t>William F Lazarus:</t>
        </r>
        <r>
          <rPr>
            <sz val="9"/>
            <color indexed="81"/>
            <rFont val="Tahoma"/>
            <family val="2"/>
          </rPr>
          <t xml:space="preserve">
from MSU
</t>
        </r>
      </text>
    </comment>
    <comment ref="AG44" authorId="0" shapeId="0" xr:uid="{9AA7DF9D-1039-484F-A1AF-EB26EA99F07F}">
      <text>
        <r>
          <rPr>
            <b/>
            <sz val="9"/>
            <color indexed="81"/>
            <rFont val="Tahoma"/>
            <family val="2"/>
          </rPr>
          <t>William F Lazarus:</t>
        </r>
        <r>
          <rPr>
            <sz val="9"/>
            <color indexed="81"/>
            <rFont val="Tahoma"/>
            <family val="2"/>
          </rPr>
          <t xml:space="preserve">
assumes November harvest, from Wilson et al., 2021
</t>
        </r>
      </text>
    </comment>
    <comment ref="B47" authorId="0" shapeId="0" xr:uid="{AE8119CD-65C7-4EFB-BB00-A9D7AD2F5FB5}">
      <text>
        <r>
          <rPr>
            <b/>
            <sz val="9"/>
            <color indexed="81"/>
            <rFont val="Tahoma"/>
            <family val="2"/>
          </rPr>
          <t>William F Lazarus:</t>
        </r>
        <r>
          <rPr>
            <sz val="9"/>
            <color indexed="81"/>
            <rFont val="Tahoma"/>
            <family val="2"/>
          </rPr>
          <t xml:space="preserve">
From nutrient mgmt plan, nutrient lb/1000 gal 
</t>
        </r>
      </text>
    </comment>
    <comment ref="C47" authorId="0" shapeId="0" xr:uid="{FC1154ED-9905-4A33-B375-26922DF81256}">
      <text>
        <r>
          <rPr>
            <b/>
            <sz val="9"/>
            <color indexed="81"/>
            <rFont val="Tahoma"/>
            <family val="2"/>
          </rPr>
          <t>William F Lazarus:</t>
        </r>
        <r>
          <rPr>
            <sz val="9"/>
            <color indexed="81"/>
            <rFont val="Tahoma"/>
            <family val="2"/>
          </rPr>
          <t xml:space="preserve">
from MSU
</t>
        </r>
      </text>
    </comment>
    <comment ref="AG47" authorId="0" shapeId="0" xr:uid="{9339974E-0E59-4AAB-93AA-F39714F7E489}">
      <text>
        <r>
          <rPr>
            <b/>
            <sz val="9"/>
            <color indexed="81"/>
            <rFont val="Tahoma"/>
            <family val="2"/>
          </rPr>
          <t>William F Lazarus:</t>
        </r>
        <r>
          <rPr>
            <sz val="9"/>
            <color indexed="81"/>
            <rFont val="Tahoma"/>
            <family val="2"/>
          </rPr>
          <t xml:space="preserve">
from Vogel et al., 2017</t>
        </r>
      </text>
    </comment>
    <comment ref="B48" authorId="0" shapeId="0" xr:uid="{F33A769B-2D3E-4279-9719-C7C825829F2B}">
      <text>
        <r>
          <rPr>
            <b/>
            <sz val="9"/>
            <color indexed="81"/>
            <rFont val="Tahoma"/>
            <family val="2"/>
          </rPr>
          <t>William F Lazarus:</t>
        </r>
        <r>
          <rPr>
            <sz val="9"/>
            <color indexed="81"/>
            <rFont val="Tahoma"/>
            <family val="2"/>
          </rPr>
          <t xml:space="preserve">
From nutrient mgmt plan, nutrient lb/1000 gal 
</t>
        </r>
      </text>
    </comment>
    <comment ref="AG48" authorId="0" shapeId="0" xr:uid="{08DD9372-F509-4CEB-B609-D6C7917CFF68}">
      <text>
        <r>
          <rPr>
            <b/>
            <sz val="9"/>
            <color indexed="81"/>
            <rFont val="Tahoma"/>
            <family val="2"/>
          </rPr>
          <t>William F Lazarus:</t>
        </r>
        <r>
          <rPr>
            <sz val="9"/>
            <color indexed="81"/>
            <rFont val="Tahoma"/>
            <family val="2"/>
          </rPr>
          <t xml:space="preserve">
from Vogel et al., 2017</t>
        </r>
      </text>
    </comment>
    <comment ref="Y67" authorId="0" shapeId="0" xr:uid="{4026EA13-E705-4E35-AF14-E37DEDAED42A}">
      <text>
        <r>
          <rPr>
            <b/>
            <sz val="9"/>
            <color indexed="81"/>
            <rFont val="Tahoma"/>
            <family val="2"/>
          </rPr>
          <t>William F Lazarus:</t>
        </r>
        <r>
          <rPr>
            <sz val="9"/>
            <color indexed="81"/>
            <rFont val="Tahoma"/>
            <family val="2"/>
          </rPr>
          <t xml:space="preserve">
The manure solids bedding is assumed to go back to the digester in the manure stream, so is not land-applied separately.</t>
        </r>
      </text>
    </comment>
    <comment ref="C175" authorId="0" shapeId="0" xr:uid="{3647B26F-B4DD-49DA-A274-52ABBEBEAB1E}">
      <text>
        <r>
          <rPr>
            <b/>
            <sz val="9"/>
            <color indexed="81"/>
            <rFont val="Tahoma"/>
            <family val="2"/>
          </rPr>
          <t>William F Lazarus:</t>
        </r>
        <r>
          <rPr>
            <sz val="9"/>
            <color indexed="81"/>
            <rFont val="Tahoma"/>
            <family val="2"/>
          </rPr>
          <t xml:space="preserve">
from machdata.xlsm, 160 hp tractor plus unskilled labor</t>
        </r>
      </text>
    </comment>
    <comment ref="B177" authorId="0" shapeId="0" xr:uid="{7D0AEAF3-5480-4B0D-94C9-AF524ADB35D4}">
      <text>
        <r>
          <rPr>
            <b/>
            <sz val="9"/>
            <color indexed="81"/>
            <rFont val="Tahoma"/>
            <family val="2"/>
          </rPr>
          <t>William F Lazarus:</t>
        </r>
        <r>
          <rPr>
            <sz val="9"/>
            <color indexed="81"/>
            <rFont val="Tahoma"/>
            <family val="2"/>
          </rPr>
          <t xml:space="preserve">
I don't have any data on this.</t>
        </r>
      </text>
    </comment>
    <comment ref="B181" authorId="0" shapeId="0" xr:uid="{6C5152BE-32F7-422D-930A-8DB064518F20}">
      <text>
        <r>
          <rPr>
            <b/>
            <sz val="9"/>
            <color indexed="81"/>
            <rFont val="Tahoma"/>
            <family val="2"/>
          </rPr>
          <t>William F Lazarus:</t>
        </r>
        <r>
          <rPr>
            <sz val="9"/>
            <color indexed="81"/>
            <rFont val="Tahoma"/>
            <family val="2"/>
          </rPr>
          <t xml:space="preserve">
I don't have any data on this.</t>
        </r>
      </text>
    </comment>
    <comment ref="B190" authorId="0" shapeId="0" xr:uid="{964E03BC-B143-4B31-8A8F-6954FB7E53D5}">
      <text>
        <r>
          <rPr>
            <b/>
            <sz val="9"/>
            <color indexed="81"/>
            <rFont val="Tahoma"/>
            <family val="2"/>
          </rPr>
          <t>William F Lazarus:</t>
        </r>
        <r>
          <rPr>
            <sz val="9"/>
            <color indexed="81"/>
            <rFont val="Tahoma"/>
            <family val="2"/>
          </rPr>
          <t xml:space="preserve">
I don't have any data on this.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William F Lazarus</author>
  </authors>
  <commentList>
    <comment ref="I73" authorId="0" shapeId="0" xr:uid="{7FBA96AC-777B-4E4B-9AD3-C27CF80E5CBB}">
      <text>
        <r>
          <rPr>
            <b/>
            <sz val="9"/>
            <color indexed="81"/>
            <rFont val="Tahoma"/>
            <family val="2"/>
          </rPr>
          <t>William F Lazarus:</t>
        </r>
        <r>
          <rPr>
            <sz val="9"/>
            <color indexed="81"/>
            <rFont val="Tahoma"/>
            <family val="2"/>
          </rPr>
          <t xml:space="preserve">
based on min of applied or needed</t>
        </r>
      </text>
    </comment>
    <comment ref="J73" authorId="0" shapeId="0" xr:uid="{FAB39C3B-BB92-4488-BA99-67C6C308F14B}">
      <text>
        <r>
          <rPr>
            <b/>
            <sz val="9"/>
            <color indexed="81"/>
            <rFont val="Tahoma"/>
            <family val="2"/>
          </rPr>
          <t>William F Lazarus:</t>
        </r>
        <r>
          <rPr>
            <sz val="9"/>
            <color indexed="81"/>
            <rFont val="Tahoma"/>
            <family val="2"/>
          </rPr>
          <t xml:space="preserve">
based on min of applied or needed</t>
        </r>
      </text>
    </comment>
    <comment ref="P73" authorId="0" shapeId="0" xr:uid="{24EB7D2F-B40F-4679-B6CC-CDD33CDECD57}">
      <text>
        <r>
          <rPr>
            <b/>
            <sz val="9"/>
            <color indexed="81"/>
            <rFont val="Tahoma"/>
            <family val="2"/>
          </rPr>
          <t>William F Lazarus:</t>
        </r>
        <r>
          <rPr>
            <sz val="9"/>
            <color indexed="81"/>
            <rFont val="Tahoma"/>
            <family val="2"/>
          </rPr>
          <t xml:space="preserve">
based on min of applied or needed</t>
        </r>
      </text>
    </comment>
    <comment ref="Q73" authorId="0" shapeId="0" xr:uid="{046472DD-D99B-4295-AEBD-0DC8A7376996}">
      <text>
        <r>
          <rPr>
            <b/>
            <sz val="9"/>
            <color indexed="81"/>
            <rFont val="Tahoma"/>
            <family val="2"/>
          </rPr>
          <t>William F Lazarus:</t>
        </r>
        <r>
          <rPr>
            <sz val="9"/>
            <color indexed="81"/>
            <rFont val="Tahoma"/>
            <family val="2"/>
          </rPr>
          <t xml:space="preserve">
based on min of applied or needed</t>
        </r>
      </text>
    </comment>
    <comment ref="W73" authorId="0" shapeId="0" xr:uid="{6FA52A7D-6F12-4E17-9726-2FE0E5797A31}">
      <text>
        <r>
          <rPr>
            <b/>
            <sz val="9"/>
            <color indexed="81"/>
            <rFont val="Tahoma"/>
            <family val="2"/>
          </rPr>
          <t>William F Lazarus:</t>
        </r>
        <r>
          <rPr>
            <sz val="9"/>
            <color indexed="81"/>
            <rFont val="Tahoma"/>
            <family val="2"/>
          </rPr>
          <t xml:space="preserve">
based on min of applied or needed</t>
        </r>
      </text>
    </comment>
    <comment ref="X73" authorId="0" shapeId="0" xr:uid="{519FBD50-4AC2-47C0-B05B-8F09F96C8626}">
      <text>
        <r>
          <rPr>
            <b/>
            <sz val="9"/>
            <color indexed="81"/>
            <rFont val="Tahoma"/>
            <family val="2"/>
          </rPr>
          <t>William F Lazarus:</t>
        </r>
        <r>
          <rPr>
            <sz val="9"/>
            <color indexed="81"/>
            <rFont val="Tahoma"/>
            <family val="2"/>
          </rPr>
          <t xml:space="preserve">
based on min of applied or needed</t>
        </r>
      </text>
    </comment>
    <comment ref="Z73" authorId="0" shapeId="0" xr:uid="{09D36EC1-0D24-456E-A746-97D5982C6EE2}">
      <text>
        <r>
          <rPr>
            <b/>
            <sz val="9"/>
            <color indexed="81"/>
            <rFont val="Tahoma"/>
            <family val="2"/>
          </rPr>
          <t>William F Lazarus:</t>
        </r>
        <r>
          <rPr>
            <sz val="9"/>
            <color indexed="81"/>
            <rFont val="Tahoma"/>
            <family val="2"/>
          </rPr>
          <t xml:space="preserve">
based on min of applied or needed</t>
        </r>
      </text>
    </comment>
    <comment ref="C74" authorId="0" shapeId="0" xr:uid="{5379A342-974C-4527-90E7-A62FE3F7FA47}">
      <text>
        <r>
          <rPr>
            <b/>
            <sz val="9"/>
            <color indexed="81"/>
            <rFont val="Tahoma"/>
            <family val="2"/>
          </rPr>
          <t>William F Lazarus:</t>
        </r>
        <r>
          <rPr>
            <sz val="9"/>
            <color indexed="81"/>
            <rFont val="Tahoma"/>
            <family val="2"/>
          </rPr>
          <t xml:space="preserve">
Prices of fertilizer nutrient purchases avoided because they are replaced by manure or digestate land applications</t>
        </r>
      </text>
    </comment>
    <comment ref="C75" authorId="0" shapeId="0" xr:uid="{0231FC5F-BC3A-4135-9BCA-1C227DD83279}">
      <text>
        <r>
          <rPr>
            <b/>
            <sz val="9"/>
            <color indexed="81"/>
            <rFont val="Tahoma"/>
            <family val="2"/>
          </rPr>
          <t>William F Lazarus:</t>
        </r>
        <r>
          <rPr>
            <sz val="9"/>
            <color indexed="81"/>
            <rFont val="Tahoma"/>
            <family val="2"/>
          </rPr>
          <t xml:space="preserve">
Prices of fertilizer nutrient purchases avoided because they are replaced by manure or digestate land applications</t>
        </r>
      </text>
    </comment>
    <comment ref="C76" authorId="0" shapeId="0" xr:uid="{49A995BF-DCE0-4FC5-911C-0E8E9A7D22E4}">
      <text>
        <r>
          <rPr>
            <b/>
            <sz val="9"/>
            <color indexed="81"/>
            <rFont val="Tahoma"/>
            <family val="2"/>
          </rPr>
          <t>William F Lazarus:</t>
        </r>
        <r>
          <rPr>
            <sz val="9"/>
            <color indexed="81"/>
            <rFont val="Tahoma"/>
            <family val="2"/>
          </rPr>
          <t xml:space="preserve">
Prices of fertilizer nutrient purchases avoided because they are replaced by manure or digestate land applications</t>
        </r>
      </text>
    </comment>
    <comment ref="F79" authorId="0" shapeId="0" xr:uid="{D4913E2B-A275-4D02-879F-BE6A3F532242}">
      <text>
        <r>
          <rPr>
            <b/>
            <sz val="9"/>
            <color indexed="81"/>
            <rFont val="Tahoma"/>
            <family val="2"/>
          </rPr>
          <t>William F Lazarus:</t>
        </r>
        <r>
          <rPr>
            <sz val="9"/>
            <color indexed="81"/>
            <rFont val="Tahoma"/>
            <family val="2"/>
          </rPr>
          <t xml:space="preserve">
2022 ISU survey</t>
        </r>
      </text>
    </comment>
    <comment ref="V79" authorId="0" shapeId="0" xr:uid="{4A48C890-294F-4F77-A64A-117B3D3EC661}">
      <text>
        <r>
          <rPr>
            <b/>
            <sz val="9"/>
            <color indexed="81"/>
            <rFont val="Tahoma"/>
            <family val="2"/>
          </rPr>
          <t>William F Lazarus:</t>
        </r>
        <r>
          <rPr>
            <sz val="9"/>
            <color indexed="81"/>
            <rFont val="Tahoma"/>
            <family val="2"/>
          </rPr>
          <t xml:space="preserve">
2022 ISU survey</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William F Lazarus</author>
    <author>Tyler Leeds</author>
  </authors>
  <commentList>
    <comment ref="B12" authorId="0" shapeId="0" xr:uid="{461EEBB1-2338-4A4D-AF1C-60BA41F3DF5A}">
      <text>
        <r>
          <rPr>
            <b/>
            <sz val="9"/>
            <color indexed="81"/>
            <rFont val="Tahoma"/>
            <family val="2"/>
          </rPr>
          <t>William F Lazarus:</t>
        </r>
        <r>
          <rPr>
            <sz val="9"/>
            <color indexed="81"/>
            <rFont val="Tahoma"/>
            <family val="2"/>
          </rPr>
          <t xml:space="preserve">
Or, first crop in the rotation, if more than one crop</t>
        </r>
      </text>
    </comment>
    <comment ref="F12" authorId="1" shapeId="0" xr:uid="{EBE81A27-D050-40B6-94FD-F7F09801360A}">
      <text>
        <r>
          <rPr>
            <b/>
            <sz val="14"/>
            <color indexed="81"/>
            <rFont val="Tahoma"/>
            <family val="2"/>
          </rPr>
          <t>Note:</t>
        </r>
        <r>
          <rPr>
            <sz val="14"/>
            <color indexed="81"/>
            <rFont val="Tahoma"/>
            <family val="2"/>
          </rPr>
          <t xml:space="preserve">
This cell is just for reference.</t>
        </r>
      </text>
    </comment>
    <comment ref="F13" authorId="1" shapeId="0" xr:uid="{626BD7BD-BEC5-4569-8093-C682C85C5E4A}">
      <text>
        <r>
          <rPr>
            <b/>
            <sz val="14"/>
            <color indexed="81"/>
            <rFont val="Tahoma"/>
            <family val="2"/>
          </rPr>
          <t>Note:</t>
        </r>
        <r>
          <rPr>
            <sz val="14"/>
            <color indexed="81"/>
            <rFont val="Tahoma"/>
            <family val="2"/>
          </rPr>
          <t xml:space="preserve">
This section is to describe the opportunity cost of the land to be planted to switchgrass for the digester.  Enter the typical yield, price per unit, and non-land production cost per acre to have the formulas calculate the net return.
Or, if the net return per acre is known, the simplest way to do the data entry is to enter it in the yield cell, enter a "1" in the price cell, and leave the non-land production cost cell blank.</t>
        </r>
      </text>
    </comment>
    <comment ref="F14" authorId="1" shapeId="0" xr:uid="{F9EE47A9-81BB-4C91-95C1-8E0C98673928}">
      <text>
        <r>
          <rPr>
            <b/>
            <sz val="14"/>
            <color indexed="81"/>
            <rFont val="Tahoma"/>
            <family val="2"/>
          </rPr>
          <t>Note:</t>
        </r>
        <r>
          <rPr>
            <sz val="14"/>
            <color indexed="81"/>
            <rFont val="Tahoma"/>
            <family val="2"/>
          </rPr>
          <t xml:space="preserve">
This section is to describe the opportunity cost of the land to be planted to switchgrass for the digester.  Enter the typical yield, price per unit, and non-land production cost per acre to have the formulas calculate the net return.
Or, if the net return per acre is known, the simplest way to do the data entry is to enter it in the yield cell, enter a "1" in the price cell, and leave the non-land production cost cell blank.</t>
        </r>
      </text>
    </comment>
    <comment ref="F15" authorId="1" shapeId="0" xr:uid="{FC4028D2-8B88-488C-B30C-48A5B9ABCFB4}">
      <text>
        <r>
          <rPr>
            <b/>
            <sz val="14"/>
            <color indexed="81"/>
            <rFont val="Tahoma"/>
            <family val="2"/>
          </rPr>
          <t>Note:</t>
        </r>
        <r>
          <rPr>
            <sz val="14"/>
            <color indexed="81"/>
            <rFont val="Tahoma"/>
            <family val="2"/>
          </rPr>
          <t xml:space="preserve">
This section is to describe the opportunity cost of the land to be planted to switchgrass for the digester.  Enter the typical yield, price per unit, and non-land production cost per acre to have the formulas calculate the net return.
Or, if the net return per acre is known, the simplest way to do the data entry is to enter it in the yield cell, enter a "1" in the price cell, and leave the non-land production cost cell blank.</t>
        </r>
      </text>
    </comment>
    <comment ref="F16" authorId="1" shapeId="0" xr:uid="{4081DBC5-AB43-46C5-A148-7C54F61186BD}">
      <text>
        <r>
          <rPr>
            <b/>
            <sz val="14"/>
            <color indexed="81"/>
            <rFont val="Tahoma"/>
            <family val="2"/>
          </rPr>
          <t>Note:</t>
        </r>
        <r>
          <rPr>
            <sz val="14"/>
            <color indexed="81"/>
            <rFont val="Tahoma"/>
            <family val="2"/>
          </rPr>
          <t xml:space="preserve">
If calculating the opportunity cost of land on only one crop, enter "100%" here.  Or, you can enter a percentage here and the information on a second crop below, to have the formulas calculate an average of the two crops.</t>
        </r>
      </text>
    </comment>
    <comment ref="F23" authorId="1" shapeId="0" xr:uid="{D3A3F9A7-EEAC-4877-9BDA-DD99CFEDC4E5}">
      <text>
        <r>
          <rPr>
            <b/>
            <sz val="14"/>
            <color indexed="81"/>
            <rFont val="Tahoma"/>
            <family val="2"/>
          </rPr>
          <t>Note:</t>
        </r>
        <r>
          <rPr>
            <sz val="14"/>
            <color indexed="81"/>
            <rFont val="Tahoma"/>
            <family val="2"/>
          </rPr>
          <t xml:space="preserve">
This is site-specific.</t>
        </r>
      </text>
    </comment>
    <comment ref="F24" authorId="1" shapeId="0" xr:uid="{7F50CB2C-0480-4265-BAEF-8B9F5C2AD392}">
      <text>
        <r>
          <rPr>
            <b/>
            <sz val="14"/>
            <color indexed="81"/>
            <rFont val="Tahoma"/>
            <family val="2"/>
          </rPr>
          <t>Note:</t>
        </r>
        <r>
          <rPr>
            <sz val="14"/>
            <color indexed="81"/>
            <rFont val="Tahoma"/>
            <family val="2"/>
          </rPr>
          <t xml:space="preserve">
Enter the expected years of productive growth from the switchgrass.  Estimates range from 5 to 15 years.  This does not include the site preparation year, if any.</t>
        </r>
      </text>
    </comment>
    <comment ref="F25" authorId="1" shapeId="0" xr:uid="{0F9D8D91-159B-4554-83DC-E27A309AFE5B}">
      <text>
        <r>
          <rPr>
            <b/>
            <sz val="14"/>
            <color indexed="81"/>
            <rFont val="Tahoma"/>
            <family val="2"/>
          </rPr>
          <t>Note:</t>
        </r>
        <r>
          <rPr>
            <sz val="14"/>
            <color indexed="81"/>
            <rFont val="Tahoma"/>
            <family val="2"/>
          </rPr>
          <t xml:space="preserve">
The yield is usually low in the planting year, higher in the second year, and reaches its full potential by the third year.</t>
        </r>
      </text>
    </comment>
    <comment ref="F26" authorId="1" shapeId="0" xr:uid="{1DB056D8-CB6D-4343-B8C6-34653EA15439}">
      <text>
        <r>
          <rPr>
            <b/>
            <sz val="14"/>
            <color indexed="81"/>
            <rFont val="Tahoma"/>
            <family val="2"/>
          </rPr>
          <t>Note:</t>
        </r>
        <r>
          <rPr>
            <sz val="14"/>
            <color indexed="81"/>
            <rFont val="Tahoma"/>
            <family val="2"/>
          </rPr>
          <t xml:space="preserve">
The yield is usually low in the planting year, higher in the second year, and reaches its full potential by the third year.</t>
        </r>
      </text>
    </comment>
    <comment ref="F27" authorId="1" shapeId="0" xr:uid="{C945B722-6BC1-4DCD-A8DE-1F413EEE2AD4}">
      <text>
        <r>
          <rPr>
            <b/>
            <sz val="14"/>
            <color indexed="81"/>
            <rFont val="Tahoma"/>
            <family val="2"/>
          </rPr>
          <t>Note:</t>
        </r>
        <r>
          <rPr>
            <sz val="14"/>
            <color indexed="81"/>
            <rFont val="Tahoma"/>
            <family val="2"/>
          </rPr>
          <t xml:space="preserve">
The yield is usually low in the planting year, higher in the second year, and reaches its full potential by the third year.</t>
        </r>
      </text>
    </comment>
    <comment ref="F29" authorId="1" shapeId="0" xr:uid="{BD7FF90B-B911-4DAD-B145-50B491254C01}">
      <text>
        <r>
          <rPr>
            <b/>
            <sz val="14"/>
            <color indexed="81"/>
            <rFont val="Tahoma"/>
            <family val="2"/>
          </rPr>
          <t>Note:</t>
        </r>
        <r>
          <rPr>
            <sz val="14"/>
            <color indexed="81"/>
            <rFont val="Tahoma"/>
            <family val="2"/>
          </rPr>
          <t xml:space="preserve">
This will depend on the type of baler used.</t>
        </r>
      </text>
    </comment>
    <comment ref="C33" authorId="0" shapeId="0" xr:uid="{76DB3279-1ED8-454A-BB8A-E758F8F271AB}">
      <text>
        <r>
          <rPr>
            <b/>
            <sz val="9"/>
            <color indexed="81"/>
            <rFont val="Tahoma"/>
            <family val="2"/>
          </rPr>
          <t>William F Lazarus:</t>
        </r>
        <r>
          <rPr>
            <sz val="9"/>
            <color indexed="81"/>
            <rFont val="Tahoma"/>
            <family val="2"/>
          </rPr>
          <t xml:space="preserve">
The inputs in column C are from the Key Inputs and Detailed Inputs sheet, for manure and food waste only.  Enter any values in column D that would be different when adding grass.</t>
        </r>
      </text>
    </comment>
    <comment ref="E33" authorId="1" shapeId="0" xr:uid="{E843C4EC-2B10-4C0F-98FA-F183E0D51E2C}">
      <text>
        <r>
          <rPr>
            <b/>
            <sz val="14"/>
            <color indexed="81"/>
            <rFont val="Tahoma"/>
            <family val="2"/>
          </rPr>
          <t>Note:</t>
        </r>
        <r>
          <rPr>
            <sz val="14"/>
            <color indexed="81"/>
            <rFont val="Tahoma"/>
            <family val="2"/>
          </rPr>
          <t xml:space="preserve">
The inputs in column C are from the Key Inputs and Detailed Inputs sheet, for manure and food waste only.  Enter any values in column D that would be different when adding grass.</t>
        </r>
      </text>
    </comment>
    <comment ref="C38" authorId="0" shapeId="0" xr:uid="{FECCA45C-F79A-4576-B597-BAEB259A69E4}">
      <text>
        <r>
          <rPr>
            <b/>
            <sz val="9"/>
            <color indexed="81"/>
            <rFont val="Tahoma"/>
            <family val="2"/>
          </rPr>
          <t>William F Lazarus:</t>
        </r>
        <r>
          <rPr>
            <sz val="9"/>
            <color indexed="81"/>
            <rFont val="Tahoma"/>
            <family val="2"/>
          </rPr>
          <t xml:space="preserve">
from agstar spreadsheet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Jason Gifford</author>
  </authors>
  <commentList>
    <comment ref="B5" authorId="0" shapeId="0" xr:uid="{00000000-0006-0000-0200-000001000000}">
      <text>
        <r>
          <rPr>
            <b/>
            <sz val="12"/>
            <color indexed="81"/>
            <rFont val="Tahoma"/>
            <family val="2"/>
          </rPr>
          <t>Note:</t>
        </r>
        <r>
          <rPr>
            <sz val="12"/>
            <color indexed="81"/>
            <rFont val="Tahoma"/>
            <family val="2"/>
          </rPr>
          <t xml:space="preserve">
One of the CREST model development objectives was to incorporate maximum functionality and flexibility, while maintaining a macro-free file.
As a result, the model calculates using a series of three data tables which converge onto the COE within several one-hundredths of a cent.
Because the three data tables rely on one another to calculate the COE, and the "Automatic" calculation setting only re-calculates the first data table under certain circumstances, it is sometimes necessary to press F9 more than once in order for the calculation to cascade through each of the three data tables.
If "#N/A" appears, F9 should be pressed until the calculated COE achieves it's final value.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Jason Gifford</author>
  </authors>
  <commentList>
    <comment ref="C4" authorId="0" shapeId="0" xr:uid="{00000000-0006-0000-0300-000002000000}">
      <text>
        <r>
          <rPr>
            <sz val="8"/>
            <color indexed="81"/>
            <rFont val="Tahoma"/>
            <family val="2"/>
          </rPr>
          <t xml:space="preserve">
</t>
        </r>
        <r>
          <rPr>
            <b/>
            <sz val="14"/>
            <color indexed="81"/>
            <rFont val="Tahoma"/>
            <family val="2"/>
          </rPr>
          <t>Note:</t>
        </r>
        <r>
          <rPr>
            <sz val="8"/>
            <color indexed="81"/>
            <rFont val="Tahoma"/>
            <family val="2"/>
          </rPr>
          <t xml:space="preserve">
</t>
        </r>
        <r>
          <rPr>
            <sz val="14"/>
            <color indexed="81"/>
            <rFont val="Tahoma"/>
            <family val="2"/>
          </rPr>
          <t>includes performance-based incentives.</t>
        </r>
      </text>
    </comment>
    <comment ref="D4" authorId="0" shapeId="0" xr:uid="{00000000-0006-0000-0300-000003000000}">
      <text>
        <r>
          <rPr>
            <b/>
            <sz val="14"/>
            <color indexed="81"/>
            <rFont val="Tahoma"/>
            <family val="2"/>
          </rPr>
          <t>Note:</t>
        </r>
        <r>
          <rPr>
            <sz val="14"/>
            <color indexed="81"/>
            <rFont val="Tahoma"/>
            <family val="2"/>
          </rPr>
          <t xml:space="preserve">
Includes all land lease, royalty and local tax or PILOT.
</t>
        </r>
      </text>
    </comment>
    <comment ref="E4" authorId="0" shapeId="0" xr:uid="{00000000-0006-0000-0300-000004000000}">
      <text>
        <r>
          <rPr>
            <b/>
            <sz val="12"/>
            <color indexed="81"/>
            <rFont val="Tahoma"/>
            <family val="2"/>
          </rPr>
          <t xml:space="preserve">Note:
</t>
        </r>
        <r>
          <rPr>
            <sz val="12"/>
            <color indexed="81"/>
            <rFont val="Tahoma"/>
            <family val="2"/>
          </rPr>
          <t>Includes principle and interest, if debt is used.</t>
        </r>
      </text>
    </comment>
    <comment ref="K4" authorId="0" shapeId="0" xr:uid="{00000000-0006-0000-0300-000006000000}">
      <text>
        <r>
          <rPr>
            <b/>
            <sz val="14"/>
            <color indexed="81"/>
            <rFont val="Tahoma"/>
            <family val="2"/>
          </rPr>
          <t xml:space="preserve">Note:
</t>
        </r>
        <r>
          <rPr>
            <sz val="14"/>
            <color indexed="81"/>
            <rFont val="Tahoma"/>
            <family val="2"/>
          </rPr>
          <t xml:space="preserve">This is the annual cash flow disbursed to the project's equity investors, after tax.
</t>
        </r>
      </text>
    </comment>
    <comment ref="L4" authorId="0" shapeId="0" xr:uid="{00000000-0006-0000-0300-000007000000}">
      <text>
        <r>
          <rPr>
            <b/>
            <sz val="14"/>
            <color indexed="81"/>
            <rFont val="Tahoma"/>
            <family val="2"/>
          </rPr>
          <t xml:space="preserve">Note:
</t>
        </r>
        <r>
          <rPr>
            <sz val="14"/>
            <color indexed="81"/>
            <rFont val="Tahoma"/>
            <family val="2"/>
          </rPr>
          <t xml:space="preserve">This is the cumulative benefit of annual net cash flows.  The year in which the values become positive represents the return "of" the equity investor's original cash contribution.  The equity investor does not earn its return "on" investment until the required rate is met - which in this model will be in the final project year.
</t>
        </r>
      </text>
    </comment>
    <comment ref="M4" authorId="0" shapeId="0" xr:uid="{00000000-0006-0000-0300-000008000000}">
      <text>
        <r>
          <rPr>
            <b/>
            <sz val="14"/>
            <color indexed="81"/>
            <rFont val="Tahoma"/>
            <family val="2"/>
          </rPr>
          <t xml:space="preserve">Note:
</t>
        </r>
        <r>
          <rPr>
            <sz val="14"/>
            <color indexed="81"/>
            <rFont val="Tahoma"/>
            <family val="2"/>
          </rPr>
          <t xml:space="preserve">This is a running tally on the equity investor's after tax internal rate of return.
</t>
        </r>
      </text>
    </comment>
    <comment ref="N4" authorId="0" shapeId="0" xr:uid="{00000000-0006-0000-0300-000009000000}">
      <text>
        <r>
          <rPr>
            <b/>
            <sz val="14"/>
            <color indexed="81"/>
            <rFont val="Tahoma"/>
            <family val="2"/>
          </rPr>
          <t xml:space="preserve">Note:
</t>
        </r>
        <r>
          <rPr>
            <sz val="14"/>
            <color indexed="81"/>
            <rFont val="Tahoma"/>
            <family val="2"/>
          </rPr>
          <t xml:space="preserve">The Debt Service Coverage Ratio is calculated by dividing the sum of the annual principal and interest payment into that year's operating cash flow.  Lenders will require the DSCR to demonstrate the project's ability to easily meet its annual debt service obligation.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Jason Gifford</author>
  </authors>
  <commentList>
    <comment ref="E43" authorId="0" shapeId="0" xr:uid="{00000000-0006-0000-0400-000001000000}">
      <text>
        <r>
          <rPr>
            <b/>
            <sz val="14"/>
            <color indexed="81"/>
            <rFont val="Tahoma"/>
            <family val="2"/>
          </rPr>
          <t xml:space="preserve">NOTE:
</t>
        </r>
        <r>
          <rPr>
            <sz val="14"/>
            <color indexed="81"/>
            <rFont val="Tahoma"/>
            <family val="2"/>
          </rPr>
          <t>If operating loss carry-forward is NOT applied, the values in the "Taxable Income" lines should be the same.</t>
        </r>
        <r>
          <rPr>
            <sz val="8"/>
            <color indexed="81"/>
            <rFont val="Tahoma"/>
            <family val="2"/>
          </rPr>
          <t xml:space="preserve">
</t>
        </r>
      </text>
    </comment>
    <comment ref="C116" authorId="0" shapeId="0" xr:uid="{00000000-0006-0000-0400-000002000000}">
      <text>
        <r>
          <rPr>
            <b/>
            <sz val="14"/>
            <color indexed="81"/>
            <rFont val="Tahoma"/>
            <family val="2"/>
          </rPr>
          <t>Note:</t>
        </r>
        <r>
          <rPr>
            <sz val="14"/>
            <color indexed="81"/>
            <rFont val="Tahoma"/>
            <family val="2"/>
          </rPr>
          <t xml:space="preserve">
Adjustments include (if applicable): reduction of cost basis by 50% of ITC (or ITC Cash Grant), reduction of cost basis for other non-taxable grants, and allocation of Bonus Depreciation. </t>
        </r>
      </text>
    </comment>
    <comment ref="E116" authorId="0" shapeId="0" xr:uid="{00000000-0006-0000-0400-000003000000}">
      <text>
        <r>
          <rPr>
            <b/>
            <sz val="14"/>
            <color indexed="81"/>
            <rFont val="Tahoma"/>
            <family val="2"/>
          </rPr>
          <t xml:space="preserve">Note:
</t>
        </r>
        <r>
          <rPr>
            <sz val="14"/>
            <color indexed="81"/>
            <rFont val="Tahoma"/>
            <family val="2"/>
          </rPr>
          <t xml:space="preserve">Adjustments include (if applicable): reduction of cost basis by 50% of ITC (or ITC Cash Grant), reduction of cost basis for other non-taxable grants, and allocation of Bonus Depreciation. </t>
        </r>
      </text>
    </comment>
    <comment ref="G163" authorId="0" shapeId="0" xr:uid="{00000000-0006-0000-0400-000004000000}">
      <text>
        <r>
          <rPr>
            <b/>
            <sz val="12"/>
            <color indexed="81"/>
            <rFont val="Tahoma"/>
            <family val="2"/>
          </rPr>
          <t>Note:</t>
        </r>
        <r>
          <rPr>
            <sz val="12"/>
            <color indexed="81"/>
            <rFont val="Tahoma"/>
            <family val="2"/>
          </rPr>
          <t xml:space="preserve">
ITC earned in first quarter of operation assumed eligible to offset tax on state income taxes saved in first operating year, when applicable. Remainder of ITC carried forward.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<sst xmlns="http://schemas.openxmlformats.org/spreadsheetml/2006/main" count="1544" uniqueCount="833">
  <si>
    <t>$</t>
  </si>
  <si>
    <t>%</t>
  </si>
  <si>
    <t>years</t>
  </si>
  <si>
    <t>Construction Period</t>
  </si>
  <si>
    <t>Federal Income Tax Rate</t>
  </si>
  <si>
    <t>State Income Tax Rate</t>
  </si>
  <si>
    <t>?</t>
  </si>
  <si>
    <t>Operations &amp; Maintenance</t>
  </si>
  <si>
    <t>Operating Expenses</t>
  </si>
  <si>
    <t>Yes</t>
  </si>
  <si>
    <t>Is owner a taxable entity?</t>
  </si>
  <si>
    <t>Notes</t>
  </si>
  <si>
    <t>Check</t>
  </si>
  <si>
    <t>5-year MACRS</t>
  </si>
  <si>
    <t>15-year MACRS</t>
  </si>
  <si>
    <t>15-year SL</t>
  </si>
  <si>
    <t>20-year SL</t>
  </si>
  <si>
    <t>Non-Depreciable</t>
  </si>
  <si>
    <t>Cost Category</t>
  </si>
  <si>
    <t>Effective Income Tax Rate</t>
  </si>
  <si>
    <t>yrs</t>
  </si>
  <si>
    <t>Permanent Financing</t>
  </si>
  <si>
    <t>Interest Rate (Annual)</t>
  </si>
  <si>
    <t>months</t>
  </si>
  <si>
    <t>Interest During Construction</t>
  </si>
  <si>
    <t>Other Equity &amp; Debt Closing Costs</t>
  </si>
  <si>
    <t>Inputs Summary</t>
  </si>
  <si>
    <t>Outputs Summary</t>
  </si>
  <si>
    <t>Years</t>
  </si>
  <si>
    <t>Annual Project Cash Flows, Returns &amp; Other Metrics</t>
  </si>
  <si>
    <t>Revenue</t>
  </si>
  <si>
    <t>Year</t>
  </si>
  <si>
    <t>Cumulative Cash Flow</t>
  </si>
  <si>
    <t>After Tax IRR</t>
  </si>
  <si>
    <t>Debt Service</t>
  </si>
  <si>
    <t>Coverage</t>
  </si>
  <si>
    <t>Current Model Run</t>
  </si>
  <si>
    <t>units</t>
  </si>
  <si>
    <t>COD</t>
  </si>
  <si>
    <t>Project Expenses</t>
  </si>
  <si>
    <t>Operating Income After Interest Expense</t>
  </si>
  <si>
    <t>Pre-Tax Cash Flow to Equity</t>
  </si>
  <si>
    <t>Project Cash Flows</t>
  </si>
  <si>
    <t>Running IRR (Cash Only)</t>
  </si>
  <si>
    <t>Supporting Calculations</t>
  </si>
  <si>
    <t>5 Year MACRS</t>
  </si>
  <si>
    <t>Total Project Cost, adj for ITC/Grant if applicable</t>
  </si>
  <si>
    <t xml:space="preserve">Total  </t>
  </si>
  <si>
    <t xml:space="preserve">Debt Service:            </t>
  </si>
  <si>
    <t>Size of Debt</t>
  </si>
  <si>
    <t>Debt Sizing (Defined Capital Structure Method)</t>
  </si>
  <si>
    <t>Defined Debt-to-Total-Capital</t>
  </si>
  <si>
    <t>Beginning Balance</t>
  </si>
  <si>
    <t>Drawdowns</t>
  </si>
  <si>
    <t>Ending Balance</t>
  </si>
  <si>
    <t>Interest</t>
  </si>
  <si>
    <t>Principal</t>
  </si>
  <si>
    <t>Structured Debt Service Payment</t>
  </si>
  <si>
    <t>Depreciation Allocation</t>
  </si>
  <si>
    <t>% Eligible for ITC</t>
  </si>
  <si>
    <t>placeholder</t>
  </si>
  <si>
    <t>Click Here to Return to Inputs Worksheet</t>
  </si>
  <si>
    <t>Reserves &amp; Financing Costs</t>
  </si>
  <si>
    <t>see table ==&gt;</t>
  </si>
  <si>
    <t>Operating Expense Inflation Factor</t>
  </si>
  <si>
    <t>Project Revenue, All Sources</t>
  </si>
  <si>
    <t xml:space="preserve">Total Operating Expenses </t>
  </si>
  <si>
    <t>EBITDA (Operating Income)</t>
  </si>
  <si>
    <t>Principal Repayments</t>
  </si>
  <si>
    <t>Loan Amortization</t>
  </si>
  <si>
    <t xml:space="preserve">Loan Repayment </t>
  </si>
  <si>
    <t>Repayment of Loan Principal</t>
  </si>
  <si>
    <t>Loan Interest Expense</t>
  </si>
  <si>
    <t>Net Pre-Tax Cash Flow to Equity</t>
  </si>
  <si>
    <t>Project/Contract Year</t>
  </si>
  <si>
    <t>Depreciation Schedules, Half-Year Convention</t>
  </si>
  <si>
    <t>7-year MACRS</t>
  </si>
  <si>
    <t>20-year MACRS</t>
  </si>
  <si>
    <t>5-year SL</t>
  </si>
  <si>
    <t>39-year SL</t>
  </si>
  <si>
    <t>Allocation</t>
  </si>
  <si>
    <t>check</t>
  </si>
  <si>
    <t>Total Installed Cost</t>
  </si>
  <si>
    <t>No</t>
  </si>
  <si>
    <t>Federal Income Taxes Saved / (Paid), before ITC/PTC</t>
  </si>
  <si>
    <t>Running IRR (After Tax)</t>
  </si>
  <si>
    <t>After-Tax Cash Flow to Equity</t>
  </si>
  <si>
    <t>Annual Debt Service Coverage Ratio</t>
  </si>
  <si>
    <t>Depreciation:</t>
  </si>
  <si>
    <t>Annual Depreciation Expense, Initial Installation</t>
  </si>
  <si>
    <t>Annual Depreciation Expense, Repairs &amp; Replacements</t>
  </si>
  <si>
    <t>Depreciation Expense</t>
  </si>
  <si>
    <t>Tax</t>
  </si>
  <si>
    <t>After Tax Cash Flow</t>
  </si>
  <si>
    <t>Capital Costs</t>
  </si>
  <si>
    <t>Generation Equipment</t>
  </si>
  <si>
    <t>Depreciation Classification</t>
  </si>
  <si>
    <t>Balance of Plant</t>
  </si>
  <si>
    <t>Interconnection</t>
  </si>
  <si>
    <t>Development Costs &amp; Fee</t>
  </si>
  <si>
    <t>Total Generation Equipment Cost</t>
  </si>
  <si>
    <t>Total Project Costs</t>
  </si>
  <si>
    <t>Total Balance of Plant Cost</t>
  </si>
  <si>
    <t>Total Interconnection Cost</t>
  </si>
  <si>
    <t>$ Eligible for ITC</t>
  </si>
  <si>
    <t>Lender Fee</t>
  </si>
  <si>
    <t>Initial Funding of Debt Service &amp; Working Capital/O&amp;M Reserves</t>
  </si>
  <si>
    <t>Total Development Costs &amp; Fees</t>
  </si>
  <si>
    <t>Other Closing Costs</t>
  </si>
  <si>
    <t>Other Grants or Rebates</t>
  </si>
  <si>
    <t>State Income Taxes Saved / (Paid), before ITC/PTC</t>
  </si>
  <si>
    <t>Annual Depreciation Benefit</t>
  </si>
  <si>
    <t>Pass/Fail</t>
  </si>
  <si>
    <t>Min DSCR</t>
  </si>
  <si>
    <t>Taxable Entity? (turns on/off ITC and depreciation input cells)</t>
  </si>
  <si>
    <t>Construction Financing</t>
  </si>
  <si>
    <t>Paste Results of Multiple Model Runs Below</t>
  </si>
  <si>
    <t>[Insert Scenario Name]</t>
  </si>
  <si>
    <t>Results of multiple scenarios may be compared here by using the "copy" and "paste special - values" feature to transfer values from column D to columns F through O</t>
  </si>
  <si>
    <t>Interest Rate on Term Debt</t>
  </si>
  <si>
    <t>Project Useful Life</t>
  </si>
  <si>
    <t>Year-by-Year Inputs for Market Value of Production, if applicable</t>
  </si>
  <si>
    <t>Complex Inputs for Deriving Total Project Capital Cost, if applicable</t>
  </si>
  <si>
    <t>* Includes energy, capacity &amp; RECs</t>
  </si>
  <si>
    <t>Required Minimum Annual DSCR</t>
  </si>
  <si>
    <t>Actual Minimum DSCR, occurs in →</t>
  </si>
  <si>
    <t>Project</t>
  </si>
  <si>
    <t>Summary Results</t>
  </si>
  <si>
    <t>Taxable Income / (Operating Loss)</t>
  </si>
  <si>
    <t>Operating Loss Carry-Forward, if applicable:</t>
  </si>
  <si>
    <t>Utilization of Operating Loss Carry-Forward</t>
  </si>
  <si>
    <t>Operating Loss Carry-Forward, Beginning Balance</t>
  </si>
  <si>
    <t>Additional Operating Loss Carried-Forward</t>
  </si>
  <si>
    <t>Operating Loss Carry-Forward, Ending Balance</t>
  </si>
  <si>
    <t>Taxable Income with Operating Loss Carry-Forward</t>
  </si>
  <si>
    <t>Annual Depreciation Expense</t>
  </si>
  <si>
    <t>Carry-Forward Scenario:</t>
  </si>
  <si>
    <t>% Debt (% of hard costs) (mortgage-style amort.)</t>
  </si>
  <si>
    <t>Equity (funds balance of hard costs + all soft costs)</t>
  </si>
  <si>
    <t>Summary of Sources of Funding for Total Installed Cost</t>
  </si>
  <si>
    <t>Actual Average DSCR</t>
  </si>
  <si>
    <t>Required Average DSCR</t>
  </si>
  <si>
    <t>Project Year</t>
  </si>
  <si>
    <t>Bundled* Market Value of Production (¢/kWh)</t>
  </si>
  <si>
    <t>Avg. DSCR</t>
  </si>
  <si>
    <t>Equity Investment</t>
  </si>
  <si>
    <t>Pre-Tax Cash Flow</t>
  </si>
  <si>
    <t>Expenses + Cash Obligations</t>
  </si>
  <si>
    <t>Graph Data</t>
  </si>
  <si>
    <t>Target After-Tax Equity IRR</t>
  </si>
  <si>
    <t>Tax Benefit Carry-Forward, Beginning Balance</t>
  </si>
  <si>
    <t>Additional Tax Benefit Carry-Forward</t>
  </si>
  <si>
    <t>Utilization of Tax Benefit Carry-Forward</t>
  </si>
  <si>
    <t>Tax Benefit Carry-Forward, Ending Balance</t>
  </si>
  <si>
    <r>
      <t xml:space="preserve">Taxable Income </t>
    </r>
    <r>
      <rPr>
        <sz val="12"/>
        <rFont val="Arial"/>
        <family val="2"/>
      </rPr>
      <t>(operating loss used as generated)</t>
    </r>
  </si>
  <si>
    <r>
      <t>Taxable Income (Federal)</t>
    </r>
    <r>
      <rPr>
        <sz val="12"/>
        <rFont val="Arial"/>
        <family val="2"/>
      </rPr>
      <t>,           operating loss treatment ==&gt;&gt;</t>
    </r>
  </si>
  <si>
    <r>
      <t>Taxable Income (State),</t>
    </r>
    <r>
      <rPr>
        <sz val="12"/>
        <rFont val="Arial"/>
        <family val="2"/>
      </rPr>
      <t xml:space="preserve">               operating loss treatment ==&gt;&gt;</t>
    </r>
  </si>
  <si>
    <t>Federal Tax Benefits used as generated or carried forward?</t>
  </si>
  <si>
    <t>State Tax Benefits used as generated or carried forward?</t>
  </si>
  <si>
    <t>Federal Carry-Forward</t>
  </si>
  <si>
    <t>State Carry-Forward</t>
  </si>
  <si>
    <t>Units</t>
  </si>
  <si>
    <t>Unit Definitions</t>
  </si>
  <si>
    <t>Pass/Fail – denotes whether the two debt service coverage ratio tests have passed or failed.</t>
  </si>
  <si>
    <t>(kW) kilowatt – a standard measure of electrical capacity, equal to 1000 Watts.</t>
  </si>
  <si>
    <t>(kWh) kilowatt hour – a standard measure of electrical output. A 1 kW generator operating at rated capacity for one hour will produce 1 kWh of electricity.</t>
  </si>
  <si>
    <t>(¢/kWh) –cents per kilowatt hour</t>
  </si>
  <si>
    <t>(%) – an input with units expressed as a percentage</t>
  </si>
  <si>
    <t>(years or year) – an input applicable to a specified duration or project year</t>
  </si>
  <si>
    <t>($/yr) – inputs measured in dollars and applied annually</t>
  </si>
  <si>
    <t>(months) –designates the number of months to which an input applies</t>
  </si>
  <si>
    <r>
      <t xml:space="preserve">Does modeled project meet </t>
    </r>
    <r>
      <rPr>
        <b/>
        <i/>
        <sz val="11"/>
        <color theme="1"/>
        <rFont val="Arial"/>
        <family val="2"/>
      </rPr>
      <t>minimum</t>
    </r>
    <r>
      <rPr>
        <b/>
        <sz val="11"/>
        <color theme="1"/>
        <rFont val="Arial"/>
        <family val="2"/>
      </rPr>
      <t xml:space="preserve"> DSCR requirements?</t>
    </r>
  </si>
  <si>
    <t>Type of Federal Incentive Assumed</t>
  </si>
  <si>
    <t>($/kW-yr) – an annual expense (or revenue) based on generator capacity</t>
  </si>
  <si>
    <t>Weighted Average Cost of Capital (WACC)</t>
  </si>
  <si>
    <t>Click Here for Complex Input Worksheets</t>
  </si>
  <si>
    <t>As Generated</t>
  </si>
  <si>
    <t>Did you confirm that all minimum required inputs have green check cells?</t>
  </si>
  <si>
    <t>Press F9 each time inputs are changed to ensure completion of the COE calculation.  
When "#N/A" appears,  press "F9" in the upper row on your keyboard to complete the calculation.  It may be necessary to press F9 more than once. See note for details.</t>
  </si>
  <si>
    <t>Minimum DSCR Check Cell (If "Fail," read note ==&gt;)</t>
  </si>
  <si>
    <t>Average DSCR Check Cell (If "Fail," read note ==&gt;)</t>
  </si>
  <si>
    <t>Input Value</t>
  </si>
  <si>
    <t>Input Values</t>
  </si>
  <si>
    <t>$/kW</t>
  </si>
  <si>
    <t>Bonus Depreciation</t>
  </si>
  <si>
    <t>% of Bonus Depreciation applied in Year 1</t>
  </si>
  <si>
    <t>Allocation of Costs</t>
  </si>
  <si>
    <t>Project Cost Allocation</t>
  </si>
  <si>
    <t>Before</t>
  </si>
  <si>
    <t xml:space="preserve">% </t>
  </si>
  <si>
    <t xml:space="preserve">After </t>
  </si>
  <si>
    <t>Adjustments</t>
  </si>
  <si>
    <t>Unadjusted</t>
  </si>
  <si>
    <t>Adjusted</t>
  </si>
  <si>
    <t>Project Cost Basis</t>
  </si>
  <si>
    <t>Federal Taxable Income</t>
  </si>
  <si>
    <t>State Taxable Income</t>
  </si>
  <si>
    <t>Federal Tax 
Benefit/ (Liability)</t>
  </si>
  <si>
    <t>State Tax 
Benefit/ (Liability)</t>
  </si>
  <si>
    <t>Revenue + Tax Benefit/(Liability)</t>
  </si>
  <si>
    <t>Pre-Tax (Cash-only) Equity IRR (over defined Useful Life)</t>
  </si>
  <si>
    <t>After Tax Equity IRR (over defined Useful Life)</t>
  </si>
  <si>
    <t>Notes: (Users may enter descriptive text about their model run)</t>
  </si>
  <si>
    <t>Net Installed Cost (Total Installed Cost less Grants)</t>
  </si>
  <si>
    <t>Operating Expenses, Aggregated, Yr 1</t>
  </si>
  <si>
    <t>Debt Term</t>
  </si>
  <si>
    <t>Federal Tax Benefts Used "as generated" or "carried forward"?</t>
  </si>
  <si>
    <t>State Tax Benefts Used "as generated" or "carried forward"?</t>
  </si>
  <si>
    <t>Total of Grants or Rebates</t>
  </si>
  <si>
    <t>Bonus Depreciation assumed?</t>
  </si>
  <si>
    <r>
      <rPr>
        <sz val="11"/>
        <color theme="1"/>
        <rFont val="Calibri"/>
        <family val="2"/>
      </rPr>
      <t>¢</t>
    </r>
    <r>
      <rPr>
        <i/>
        <sz val="11"/>
        <color theme="1"/>
        <rFont val="Arial"/>
        <family val="2"/>
      </rPr>
      <t>/kWh</t>
    </r>
  </si>
  <si>
    <t>$/ton</t>
  </si>
  <si>
    <t>All inputs must be provided and validated by the user.</t>
  </si>
  <si>
    <t>Supplemental Revenue</t>
  </si>
  <si>
    <t>% Equity (% hard costs) (soft costs also equity funded)</t>
  </si>
  <si>
    <t>Avoided Cost of Waste Heat</t>
  </si>
  <si>
    <t>$/year</t>
  </si>
  <si>
    <t>Filtrate/digestate, fertilizer value net of applic. cost</t>
  </si>
  <si>
    <t>Data for graph</t>
  </si>
  <si>
    <t>Govt incentives</t>
  </si>
  <si>
    <t>O&amp;M</t>
  </si>
  <si>
    <t>Taxes</t>
  </si>
  <si>
    <t>Total cash inflows</t>
  </si>
  <si>
    <t>Total cash outflows</t>
  </si>
  <si>
    <t>Net cash flow</t>
  </si>
  <si>
    <t>Principal payments</t>
  </si>
  <si>
    <t>Annualized NPV</t>
  </si>
  <si>
    <t>ft3/m3</t>
  </si>
  <si>
    <t>Outputs</t>
  </si>
  <si>
    <t>data entry cells</t>
  </si>
  <si>
    <t>conversion factors</t>
  </si>
  <si>
    <t>= calculated cells</t>
  </si>
  <si>
    <t>metric tonnes/ton</t>
  </si>
  <si>
    <t>ha/acre</t>
  </si>
  <si>
    <t>ha/km2</t>
  </si>
  <si>
    <t>kg/lb</t>
  </si>
  <si>
    <t>lb/gallon</t>
  </si>
  <si>
    <t>change</t>
  </si>
  <si>
    <t>lb per 1,000 gal</t>
  </si>
  <si>
    <t>fert price</t>
  </si>
  <si>
    <t>min of applied or rec</t>
  </si>
  <si>
    <t>fert value</t>
  </si>
  <si>
    <t>P content</t>
  </si>
  <si>
    <t>K content</t>
  </si>
  <si>
    <t>N rate applied, lb/a</t>
  </si>
  <si>
    <t>acres applied</t>
  </si>
  <si>
    <t>P applied/acre</t>
  </si>
  <si>
    <t>K applied/acre</t>
  </si>
  <si>
    <t>total fert value</t>
  </si>
  <si>
    <t>gallons applied/acre</t>
  </si>
  <si>
    <t>https://www.extension.iastate.edu/agdm/crops/pdf/a3-10.pdf</t>
  </si>
  <si>
    <t>fert value net of app cost</t>
  </si>
  <si>
    <t>total/farm</t>
  </si>
  <si>
    <t>app cost</t>
  </si>
  <si>
    <t>percent of area applied</t>
  </si>
  <si>
    <t>ha applied</t>
  </si>
  <si>
    <t>total area with surround, ha</t>
  </si>
  <si>
    <t>total area with surround, acres</t>
  </si>
  <si>
    <t>total area with surround, km2</t>
  </si>
  <si>
    <t>km2/1 mi2</t>
  </si>
  <si>
    <t>total area with surround, mi2</t>
  </si>
  <si>
    <t>radius of a circle of this area</t>
  </si>
  <si>
    <t>km</t>
  </si>
  <si>
    <t>average one-way haul distance from any point to the center, km</t>
  </si>
  <si>
    <t>https://www.google.com/search?q=what+is+the+average+distance+from+any+point+in+a+circle+to+the+center&amp;rlz=1C1GCEB_enUS878US878&amp;oq=what+is+the+average+distance+from+any+point+in+a+circle+to+the+center&amp;aqs=chrome..69i57.16161j1j15&amp;sourceid=chrome&amp;ie=UTF-8</t>
  </si>
  <si>
    <t>kmh/mph</t>
  </si>
  <si>
    <t>average one-way haul distance, mi</t>
  </si>
  <si>
    <t>cost/hr/machine</t>
  </si>
  <si>
    <t>cost/hr, all machines</t>
  </si>
  <si>
    <t>transport cost</t>
  </si>
  <si>
    <t>trucks</t>
  </si>
  <si>
    <t>loaders at field &amp; digester</t>
  </si>
  <si>
    <t>average speed, mi/hr</t>
  </si>
  <si>
    <t>mph</t>
  </si>
  <si>
    <t>average speed, km/hr</t>
  </si>
  <si>
    <t>hrs/trip</t>
  </si>
  <si>
    <t>tons/load, wet</t>
  </si>
  <si>
    <t>dry matter %</t>
  </si>
  <si>
    <t>tons/load, dry matter</t>
  </si>
  <si>
    <t>tonnes/load</t>
  </si>
  <si>
    <t>gallons/load</t>
  </si>
  <si>
    <t>trips/yr</t>
  </si>
  <si>
    <t>trips/yr/truck</t>
  </si>
  <si>
    <t>hrs driving/yr/truck</t>
  </si>
  <si>
    <t>driving cost/trip</t>
  </si>
  <si>
    <t>loading &amp; unload time/load, minutes/loader</t>
  </si>
  <si>
    <t>loading &amp; unload cost/trip, loaders</t>
  </si>
  <si>
    <t>loading &amp; unload cost/trip, trucks</t>
  </si>
  <si>
    <t>driving &amp; loading cost/trip</t>
  </si>
  <si>
    <t>hrs driving &amp; loading/day/truck</t>
  </si>
  <si>
    <t>hrs driving &amp; loading/day</t>
  </si>
  <si>
    <t>Total transport</t>
  </si>
  <si>
    <t>Trips/acre</t>
  </si>
  <si>
    <t>Distance, miles</t>
  </si>
  <si>
    <t>area of circle, mi2</t>
  </si>
  <si>
    <t>Incremental area, mi2</t>
  </si>
  <si>
    <t>Haul cost/round trip</t>
  </si>
  <si>
    <t>Percent of area applied</t>
  </si>
  <si>
    <t>Incremental production, gal</t>
  </si>
  <si>
    <t>Cum. production, tons</t>
  </si>
  <si>
    <t>Incremental no. of trips</t>
  </si>
  <si>
    <t>cum. Number of trips</t>
  </si>
  <si>
    <t>Incremental cost</t>
  </si>
  <si>
    <t>Haul cost/ton</t>
  </si>
  <si>
    <t>The calculations below this row are not currently being used. ----------------------- transport distance, based on the average distance from any point in a circle to the center of the circle</t>
  </si>
  <si>
    <t>Calculation of fertilizer replacement value and application cost for manure, food waste, and baled warm season grass</t>
  </si>
  <si>
    <t>manure, including solids and liquid</t>
  </si>
  <si>
    <t>Assumptions:</t>
  </si>
  <si>
    <t>Intermediate level of capital cost items</t>
  </si>
  <si>
    <t>Federal grants are treated as taxable income.</t>
  </si>
  <si>
    <t>Federal incentives (renewable energy production credits) are performance-based and in the form of tax credits rather than cash.</t>
  </si>
  <si>
    <t>State incentives (alternative energy credits) are performance-based and paid in cash.</t>
  </si>
  <si>
    <t>State grants are treated as taxable income.</t>
  </si>
  <si>
    <t>Equipment replacements are done every four years.</t>
  </si>
  <si>
    <t>Decommissioning reserve is funded from the salvage value.</t>
  </si>
  <si>
    <t>Bonus depreciation is not included.</t>
  </si>
  <si>
    <t>Key inputs:</t>
  </si>
  <si>
    <t>O&amp;M cost in year 1 is fixed and does not vary with kwh.</t>
  </si>
  <si>
    <t>O&amp;M cost inflation rate is constant over the project life.</t>
  </si>
  <si>
    <t>Inflation rate</t>
  </si>
  <si>
    <t>O&amp;M, revenues, and incentives all escalate at the same inflation rate.</t>
  </si>
  <si>
    <t>changing cells</t>
  </si>
  <si>
    <t>Adding switchgrass scenario analysis (Excel one-way data table)</t>
  </si>
  <si>
    <t>tons/day</t>
  </si>
  <si>
    <t>Initial equity</t>
  </si>
  <si>
    <t>Total solids, % before digestion</t>
  </si>
  <si>
    <t>total</t>
  </si>
  <si>
    <t>grass solids</t>
  </si>
  <si>
    <t>grass, including solids and liquid</t>
  </si>
  <si>
    <t>Total</t>
  </si>
  <si>
    <t>Digestion/separation impact on weight</t>
  </si>
  <si>
    <t>gallons/year</t>
  </si>
  <si>
    <t>manure solids %</t>
  </si>
  <si>
    <t>Volume ready for land application, total</t>
  </si>
  <si>
    <t>lb total annual</t>
  </si>
  <si>
    <t>lb total annual, grass</t>
  </si>
  <si>
    <t>grass percent of DM</t>
  </si>
  <si>
    <t>manure, food &amp; grass</t>
  </si>
  <si>
    <t>Debt Term, years</t>
  </si>
  <si>
    <t>Federal Income Tax Rate, %</t>
  </si>
  <si>
    <t>State Income Tax Rate, %</t>
  </si>
  <si>
    <t>Feedstock Scenario</t>
  </si>
  <si>
    <t>Include warm season grasses in the analysis?</t>
  </si>
  <si>
    <t>Inputs currently included in the analysis</t>
  </si>
  <si>
    <t>Other Performance, Cost, Operating, Tax &amp; Financing Inputs Not Included in  the "Key Inputs "Sheet</t>
  </si>
  <si>
    <t>Data entry cell</t>
  </si>
  <si>
    <t>Value brought from Key Inputs</t>
  </si>
  <si>
    <t>Calculated cell</t>
  </si>
  <si>
    <t>Key to cell colors:</t>
  </si>
  <si>
    <t>Are warm season grasses included in the analysis?</t>
  </si>
  <si>
    <t>Changing</t>
  </si>
  <si>
    <t>% change</t>
  </si>
  <si>
    <t>Useful life sensitivity analysis</t>
  </si>
  <si>
    <t>Click here to view sensitivity analyses</t>
  </si>
  <si>
    <t>Investment sensitivity analysis (hard costs)</t>
  </si>
  <si>
    <t>Total hard costs</t>
  </si>
  <si>
    <t>O&amp;M sensitivity analysis</t>
  </si>
  <si>
    <t>%/year</t>
  </si>
  <si>
    <t>Nutrient fertilizer value sensitivity analysis</t>
  </si>
  <si>
    <t>Fertilizer value</t>
  </si>
  <si>
    <t>Adding grass - Inputs</t>
  </si>
  <si>
    <t>grass % of total solids</t>
  </si>
  <si>
    <t>tons/year</t>
  </si>
  <si>
    <t>Impact of a 25% increase in:</t>
  </si>
  <si>
    <t>Baseline</t>
  </si>
  <si>
    <t>O&amp;M, $/yr</t>
  </si>
  <si>
    <t>Inflation rate, %</t>
  </si>
  <si>
    <t>Tipping fee, $/ton</t>
  </si>
  <si>
    <t>Fertilizer, $/yr</t>
  </si>
  <si>
    <t>Useful life, yrs</t>
  </si>
  <si>
    <t>$/year bedding value</t>
  </si>
  <si>
    <t>Avoided cost of bedding replaced by separated solids, $/yr</t>
  </si>
  <si>
    <t>Acres of corn stover that manure solids bedding will replace</t>
  </si>
  <si>
    <t>Avoided Bedding Purchases</t>
  </si>
  <si>
    <t>Decommissioning</t>
  </si>
  <si>
    <t>Decommissioning Cost (in year 1 dollars)</t>
  </si>
  <si>
    <t>Decommissioning Expense</t>
  </si>
  <si>
    <t>Avoided Cost of Bedding</t>
  </si>
  <si>
    <t>O&amp;M Cost Inflation</t>
  </si>
  <si>
    <t>Equity Risk Premium</t>
  </si>
  <si>
    <t>Inflation rate sensitivity analysis (nominal)</t>
  </si>
  <si>
    <t>"Real" Inflation rate sensitivity analysis</t>
  </si>
  <si>
    <t>Nominal interest rate</t>
  </si>
  <si>
    <t>Target rate of return</t>
  </si>
  <si>
    <t>"Real" interest rate</t>
  </si>
  <si>
    <t>Baseline for the "Real" interest rate sensitivity analysis below:</t>
  </si>
  <si>
    <t>"Real"  interest rate on debt</t>
  </si>
  <si>
    <t>Interest Rate on Debt</t>
  </si>
  <si>
    <t>Data for sensitivity analysis graph:</t>
  </si>
  <si>
    <t>tons applied/acre</t>
  </si>
  <si>
    <t>tons/year in manure plan</t>
  </si>
  <si>
    <t>Changes in Performance, Cost, Operating, Tax &amp; Financing Inputs if Adding Grass</t>
  </si>
  <si>
    <t>Table for report</t>
  </si>
  <si>
    <t>Raw manure</t>
  </si>
  <si>
    <t>Separator solids</t>
  </si>
  <si>
    <t>Volume/year</t>
  </si>
  <si>
    <t>Total N, lb</t>
  </si>
  <si>
    <t>25.54/1000 gal</t>
  </si>
  <si>
    <t xml:space="preserve">18.84/1000 gal </t>
  </si>
  <si>
    <t>Total P, lb</t>
  </si>
  <si>
    <t>13.15/1000 gal</t>
  </si>
  <si>
    <t xml:space="preserve">8.99/1000 gal </t>
  </si>
  <si>
    <t>Total K, lb</t>
  </si>
  <si>
    <t>24.55/1000 gal</t>
  </si>
  <si>
    <t xml:space="preserve">17.84/1000 gal </t>
  </si>
  <si>
    <t>Total N, lb/year</t>
  </si>
  <si>
    <t>Total P, lb/year</t>
  </si>
  <si>
    <t>Total K, lb/year</t>
  </si>
  <si>
    <t>N recommended, lb/A</t>
  </si>
  <si>
    <t>no change</t>
  </si>
  <si>
    <t>P recommended, lb/A</t>
  </si>
  <si>
    <t>K recommended, lb/A</t>
  </si>
  <si>
    <t>Application rate, gallons/acre, N based</t>
  </si>
  <si>
    <t>Acres applied</t>
  </si>
  <si>
    <t>N rate applied, lb/A</t>
  </si>
  <si>
    <t>P rate applied, lb/A</t>
  </si>
  <si>
    <t>K rate applied, lb/A</t>
  </si>
  <si>
    <t>N value/A @ $0.89/lb</t>
  </si>
  <si>
    <t>P value/A @ $0.97/lb</t>
  </si>
  <si>
    <t>K value/A @ $0.73/lb</t>
  </si>
  <si>
    <t>Total fertilizer value of manure &amp; food waste/acre</t>
  </si>
  <si>
    <t>Application cost/acre @ $12.70/1,000 gallons or $6/ton</t>
  </si>
  <si>
    <t>Fertilizer value, annual</t>
  </si>
  <si>
    <t>Application cost, annual</t>
  </si>
  <si>
    <t>Fertilizer value minus application cost, annual</t>
  </si>
  <si>
    <t>Manure &amp; food waste</t>
  </si>
  <si>
    <t>Tons/day</t>
  </si>
  <si>
    <t>Solids %</t>
  </si>
  <si>
    <t>Tons/day, solids</t>
  </si>
  <si>
    <t>Change</t>
  </si>
  <si>
    <t>Value of grants, after-tax</t>
  </si>
  <si>
    <t>Bedding value</t>
  </si>
  <si>
    <t>Manure, food &amp; grass</t>
  </si>
  <si>
    <t>Change due to grass</t>
  </si>
  <si>
    <t>na</t>
  </si>
  <si>
    <t>Manure fertility value net of application</t>
  </si>
  <si>
    <t>acres</t>
  </si>
  <si>
    <t>$/acre</t>
  </si>
  <si>
    <t>/acre</t>
  </si>
  <si>
    <t>tons DM/acre</t>
  </si>
  <si>
    <t>Average grass yield</t>
  </si>
  <si>
    <t>Grass price needed to break even with switchgrass costs</t>
  </si>
  <si>
    <t>/ton DM</t>
  </si>
  <si>
    <t>lbs DM/bale</t>
  </si>
  <si>
    <t>Soybeans</t>
  </si>
  <si>
    <t>Switchgrass Costs (per acre)</t>
  </si>
  <si>
    <t xml:space="preserve">* Your responses to the questions in the "Your Production Estimates" worksheet will populate this sheet.  </t>
  </si>
  <si>
    <t>Expected Grass Yield (tons/acre)</t>
  </si>
  <si>
    <t>Bale Size (lbs/bale)</t>
  </si>
  <si>
    <t>Expected Stand Life (years)</t>
  </si>
  <si>
    <t>Bales per acre</t>
  </si>
  <si>
    <t xml:space="preserve">* To use the advanced tool, input your own values in the yellow highlighted cells.  The shaded grey boxes can be changed by changing your inputs on the "Your Production Estimates" worksheet. </t>
  </si>
  <si>
    <t>Price per unit (all years)</t>
  </si>
  <si>
    <t>Units in Field Preparation Year</t>
  </si>
  <si>
    <t>Costs in Field Preparation Year</t>
  </si>
  <si>
    <t>Units in Grass Planting Year</t>
  </si>
  <si>
    <t>Costs in Grass Planting Year</t>
  </si>
  <si>
    <t>Units in 1st Year after Planting</t>
  </si>
  <si>
    <t>Costs in 1st Year after Planting</t>
  </si>
  <si>
    <t>$ per acre</t>
  </si>
  <si>
    <t>Pre-establishment Cost for Field Preparation</t>
  </si>
  <si>
    <t>Brush Mowing</t>
  </si>
  <si>
    <t>$ per pass</t>
  </si>
  <si>
    <t>Disking, Tandem</t>
  </si>
  <si>
    <t>Soil Finishing</t>
  </si>
  <si>
    <t>Herbicide Tolerant Crop</t>
  </si>
  <si>
    <t>Winter-Killed Ground Cover (Oats)</t>
  </si>
  <si>
    <t>Total Cost for Pre-establishment and Field Preparation</t>
  </si>
  <si>
    <t>Pre-harvest Machinery Operations</t>
  </si>
  <si>
    <t>Fertilizer Spreading</t>
  </si>
  <si>
    <t>Spraying Chemicals</t>
  </si>
  <si>
    <t>Drilling, grass seed</t>
  </si>
  <si>
    <t>Total Pre-harvest Machinery Operations</t>
  </si>
  <si>
    <t>Soil Test</t>
  </si>
  <si>
    <t>$ per test</t>
  </si>
  <si>
    <t>Seed Cost (pure live seed)</t>
  </si>
  <si>
    <t>$ per lb</t>
  </si>
  <si>
    <t>Fertilizer</t>
  </si>
  <si>
    <t>Nitrogen (N)</t>
  </si>
  <si>
    <t>$ per pound</t>
  </si>
  <si>
    <t>Potassium (K2O)</t>
  </si>
  <si>
    <t>Annual Lime (including its application)</t>
  </si>
  <si>
    <t>$ per ton</t>
  </si>
  <si>
    <t>Herbicide</t>
  </si>
  <si>
    <t>Burndown (glyphosate)</t>
  </si>
  <si>
    <t>$ per ounce</t>
  </si>
  <si>
    <t>Pre-emergence (Facet L)</t>
  </si>
  <si>
    <t>Post-emergence (2,4 D L)</t>
  </si>
  <si>
    <t>Total Operating Expenses</t>
  </si>
  <si>
    <t>Interest rate</t>
  </si>
  <si>
    <t>Interest Expense on Pre-harvest Machinery Ops and Op Expenses</t>
  </si>
  <si>
    <t>8 month loan</t>
  </si>
  <si>
    <t>Harvest Machinery Operations</t>
  </si>
  <si>
    <t>Mowing</t>
  </si>
  <si>
    <t>Baling, large round with wrap</t>
  </si>
  <si>
    <t>$ per bale</t>
  </si>
  <si>
    <t>Raking</t>
  </si>
  <si>
    <t>Moving to Storage</t>
  </si>
  <si>
    <t>Storage cost</t>
  </si>
  <si>
    <t>Total Harvest Machinery Operations</t>
  </si>
  <si>
    <t>Total Cost of Production by Year (per acre)</t>
  </si>
  <si>
    <t>Total Establishment Costs with Site Prep Yr, if Included (per acre)</t>
  </si>
  <si>
    <t>Effective years</t>
  </si>
  <si>
    <t>Prorated Annual Establishment Costs (per acre)</t>
  </si>
  <si>
    <t>Calculation of annual cash flows and breakevens for the switchgrass comparison to other cropss</t>
  </si>
  <si>
    <t>Yield</t>
  </si>
  <si>
    <t>Yield discounted</t>
  </si>
  <si>
    <t>Pasture for Grazing/Haying</t>
  </si>
  <si>
    <t>Switchgrass Expense</t>
  </si>
  <si>
    <t>Switchgrass Expense Escalation Factor</t>
  </si>
  <si>
    <t>Manure solids content</t>
  </si>
  <si>
    <t>Grass P, % of dry matter</t>
  </si>
  <si>
    <t>Grass K, % of dry matter</t>
  </si>
  <si>
    <t>Switchgrass budget inputs</t>
  </si>
  <si>
    <t>Manure spreading cost, liquid, $/1,000 gallons</t>
  </si>
  <si>
    <t>Will you include a site preparation year before the grass planting year?</t>
  </si>
  <si>
    <t>Price or value per unit (enter "1" if the yield is entered as '$')</t>
  </si>
  <si>
    <t>Estimated yield or revenue/acre of the crop replaced</t>
  </si>
  <si>
    <t>Annual non-land production costs for this crop</t>
  </si>
  <si>
    <t>Percent of the rotation in this crop (enter 100% if only one crop)</t>
  </si>
  <si>
    <t>bushel</t>
  </si>
  <si>
    <t>1st crop that the switchgrass replaces or competes with for land</t>
  </si>
  <si>
    <t>1 = site prep year included</t>
  </si>
  <si>
    <t>Expected annualized costs to grow switchgrass</t>
  </si>
  <si>
    <t>Average annual net return for the alternative crop(s) on this land</t>
  </si>
  <si>
    <t>Grass price needed to match the return for the alternative crop(s)</t>
  </si>
  <si>
    <t>Results:</t>
  </si>
  <si>
    <t>Adding grass - Results compared with no grass addition:</t>
  </si>
  <si>
    <t>Amortization Factor ("weighted average cost of capital")</t>
  </si>
  <si>
    <t>(year 1 value)</t>
  </si>
  <si>
    <t>Expected yield of harvested biomass in the year of planting</t>
  </si>
  <si>
    <t>Expected yield of harvested biomass in the year following planting</t>
  </si>
  <si>
    <t>Expected yield of harvested biomass in the remaining years of the stand</t>
  </si>
  <si>
    <t>Size of bale will use in collection</t>
  </si>
  <si>
    <t>Cost/acre</t>
  </si>
  <si>
    <t>Cost extended &amp; escalated</t>
  </si>
  <si>
    <t>Year of life</t>
  </si>
  <si>
    <t>No. of site preparation years:</t>
  </si>
  <si>
    <t>Cost/acre  discounted</t>
  </si>
  <si>
    <t>manure &amp; food waste solids, lb/year</t>
  </si>
  <si>
    <t>manure, food waste &amp; grass solids, kg/day</t>
  </si>
  <si>
    <t>Switchgrass Quantity</t>
  </si>
  <si>
    <t>NPV of outflows</t>
  </si>
  <si>
    <t>NPV of inflows</t>
  </si>
  <si>
    <t>Target After-Tax Rate of Return on Equity</t>
  </si>
  <si>
    <t>Actual Internal Rate of Return on Equity</t>
  </si>
  <si>
    <t>Revenue Streams:</t>
  </si>
  <si>
    <t>Tipping Fee</t>
  </si>
  <si>
    <t>crop nutrient needs</t>
  </si>
  <si>
    <t>P</t>
  </si>
  <si>
    <t>K</t>
  </si>
  <si>
    <t>Total N</t>
  </si>
  <si>
    <t>Manure, lb per 1,000 gal</t>
  </si>
  <si>
    <t>Expected Project Useful Life</t>
  </si>
  <si>
    <t>Scenario description</t>
  </si>
  <si>
    <t>Interest Rate on the debt, %</t>
  </si>
  <si>
    <t>number</t>
  </si>
  <si>
    <t>Biogas Generation per Day</t>
  </si>
  <si>
    <t>Switchgrass percent dry matter</t>
  </si>
  <si>
    <t>Years of productivity expected from the switchgrass planting</t>
  </si>
  <si>
    <t>Overall project measures of financial "success"</t>
  </si>
  <si>
    <t>Fertilizer Nutrient Value of Digestate</t>
  </si>
  <si>
    <t>Wet solid digestate % solids</t>
  </si>
  <si>
    <t>Comparison of digester with counterfactual no-digester scenario</t>
  </si>
  <si>
    <t>Acres required for land application</t>
  </si>
  <si>
    <t>Land application rate, N-based, gal/acre</t>
  </si>
  <si>
    <t>Difference</t>
  </si>
  <si>
    <t>Raw manure if no digester</t>
  </si>
  <si>
    <t>Columns B-E represent the scenario with manure alone, no food waste or grass</t>
  </si>
  <si>
    <t xml:space="preserve">Columns F-Q represent manure plus food waste, before and after digestion/separation. </t>
  </si>
  <si>
    <t>Columns R-AA represent the addition of grass</t>
  </si>
  <si>
    <t>manure and food waste, no grass</t>
  </si>
  <si>
    <t>manure, lb/1,000 gal</t>
  </si>
  <si>
    <t>Calculation of the impact of digestion and solids separation on N, P, and K volumes</t>
  </si>
  <si>
    <t>Total volume before digestion, gallons/year</t>
  </si>
  <si>
    <t>Total weight before digestion or separation (solids + liquid), tons/day</t>
  </si>
  <si>
    <t>Total solids, tons/day before digestion</t>
  </si>
  <si>
    <t>($) – All model values are in nominal year 1 dollars</t>
  </si>
  <si>
    <t>Phosphorus (P2O5)</t>
  </si>
  <si>
    <t xml:space="preserve">Extension Team: </t>
  </si>
  <si>
    <t>Renewable and Alternative Energy</t>
  </si>
  <si>
    <t>Tool Version:</t>
  </si>
  <si>
    <t xml:space="preserve">Author: </t>
  </si>
  <si>
    <t>Last Updated:</t>
  </si>
  <si>
    <t xml:space="preserve">Contact Email: </t>
  </si>
  <si>
    <t>Website:</t>
  </si>
  <si>
    <t>Description:</t>
  </si>
  <si>
    <t xml:space="preserve">User Instructions: </t>
  </si>
  <si>
    <t xml:space="preserve">References: </t>
  </si>
  <si>
    <t>Acknowledgement of Risk:</t>
  </si>
  <si>
    <t>This tool is provided for general informational purposes only and The Pennsylvania State University shall have no liability whatsoever for the use of or reliance on this tool.</t>
  </si>
  <si>
    <t>Digester Economics</t>
  </si>
  <si>
    <t>wfl9@psu.edu</t>
  </si>
  <si>
    <t>Review the information on the "welcome" tab</t>
  </si>
  <si>
    <t xml:space="preserve">This spreadsheet tool has been designed to assist stakeholders to evaluate the economics of a farm-based anaerobic digester utilizing manure as the main feedstock but with additions of food waste and warm season grasses, and generating electricity from the biogas.  </t>
  </si>
  <si>
    <t>William Lazarus</t>
  </si>
  <si>
    <t>For detailed instructions, download the user manual at: (insert link)</t>
  </si>
  <si>
    <t>Swtichgrass added?</t>
  </si>
  <si>
    <t>Summary of Key Inputs for the Two Scenarios:</t>
  </si>
  <si>
    <t>Cost of meeting crop needs with commercial fertilizer, $/lb</t>
  </si>
  <si>
    <t>/ton</t>
  </si>
  <si>
    <t>grass</t>
  </si>
  <si>
    <t>Manure nutrient availability (if no digester), %</t>
  </si>
  <si>
    <t>Stand-life average grass yield</t>
  </si>
  <si>
    <t>Cropland acres available for land application</t>
  </si>
  <si>
    <t>Ammonium N</t>
  </si>
  <si>
    <t>Organic N</t>
  </si>
  <si>
    <t>Ammonium N content</t>
  </si>
  <si>
    <t>Organic N content</t>
  </si>
  <si>
    <t>Grass total N, % of dry matter</t>
  </si>
  <si>
    <t>Grass ammonium N, % of dry matter</t>
  </si>
  <si>
    <t>Food Waste Volume</t>
  </si>
  <si>
    <t>Minimum DSCR Year</t>
  </si>
  <si>
    <t>Cell locations varied in the exercises:</t>
  </si>
  <si>
    <t>Engine Replacement Cost</t>
  </si>
  <si>
    <t>Sludge cleanout cost</t>
  </si>
  <si>
    <t>Filtrate ammonium N avail</t>
  </si>
  <si>
    <t>Manure % total solids</t>
  </si>
  <si>
    <t>Manure spreading, solid, $/ton</t>
  </si>
  <si>
    <t>lb/ton, solids</t>
  </si>
  <si>
    <t>Manure total N content</t>
  </si>
  <si>
    <t>Manure ammonium N content</t>
  </si>
  <si>
    <t>Manure P content</t>
  </si>
  <si>
    <t>Manure K content</t>
  </si>
  <si>
    <t>bedding only based on N concentration</t>
  </si>
  <si>
    <t>tons/acre N based rate</t>
  </si>
  <si>
    <t>Total solids</t>
  </si>
  <si>
    <t>Solids and liquid</t>
  </si>
  <si>
    <t>Total P</t>
  </si>
  <si>
    <t>Total K</t>
  </si>
  <si>
    <t>lb/year</t>
  </si>
  <si>
    <t>% of feedstock</t>
  </si>
  <si>
    <t>% of wet wt</t>
  </si>
  <si>
    <t>% of organic N</t>
  </si>
  <si>
    <t>solids</t>
  </si>
  <si>
    <t>Total N content</t>
  </si>
  <si>
    <t>lb/1,000 gal</t>
  </si>
  <si>
    <t>of dry weight</t>
  </si>
  <si>
    <t>tons/day DM</t>
  </si>
  <si>
    <t>tons/year DM</t>
  </si>
  <si>
    <t>Combined feedstock</t>
  </si>
  <si>
    <t>lb/dry ton</t>
  </si>
  <si>
    <t>N</t>
  </si>
  <si>
    <t>/lb</t>
  </si>
  <si>
    <t>Manure spreading cost, drag line, 2022 ISU survey, $/1000 gal</t>
  </si>
  <si>
    <t>min of applied or needed</t>
  </si>
  <si>
    <t>P2O5</t>
  </si>
  <si>
    <t>K2O</t>
  </si>
  <si>
    <t>No digester - raw dairy manure</t>
  </si>
  <si>
    <t>nutrients applied</t>
  </si>
  <si>
    <t>Digester - filtrate</t>
  </si>
  <si>
    <t>Application cost, drag line, $/1000 gal</t>
  </si>
  <si>
    <t>Fertilizer value, $/acre</t>
  </si>
  <si>
    <t>Application cost, $/ton</t>
  </si>
  <si>
    <t>Fertilizer value net of application cost</t>
  </si>
  <si>
    <t>Difference, digester vs. no digester</t>
  </si>
  <si>
    <t>Digester - filtrate &amp; wet solids combined</t>
  </si>
  <si>
    <t>Fertilizer value, $/year</t>
  </si>
  <si>
    <t>Total fertilizer value, $/acre &amp; $/year</t>
  </si>
  <si>
    <t>Key:</t>
  </si>
  <si>
    <t>acres/crop</t>
  </si>
  <si>
    <t>Crops fertilized/year</t>
  </si>
  <si>
    <t>Needs of crop acres receiving digestate, lb/acre/crop</t>
  </si>
  <si>
    <t>Is sufficient cropland available based on the N-based rate?</t>
  </si>
  <si>
    <t>Is excess P being applied in relation to crop P needs?</t>
  </si>
  <si>
    <t>Acres available/year (acres/crop x crops/year)</t>
  </si>
  <si>
    <t>Gallons applied/acre/crop</t>
  </si>
  <si>
    <t>crops/year</t>
  </si>
  <si>
    <t>Will the system include a solids separator? (yes/no)</t>
  </si>
  <si>
    <r>
      <rPr>
        <b/>
        <sz val="12"/>
        <rFont val="Arial"/>
        <family val="2"/>
      </rPr>
      <t>Organic N</t>
    </r>
    <r>
      <rPr>
        <sz val="12"/>
        <rFont val="Arial"/>
        <family val="2"/>
      </rPr>
      <t xml:space="preserve"> in feedstock converted to </t>
    </r>
    <r>
      <rPr>
        <b/>
        <sz val="12"/>
        <rFont val="Arial"/>
        <family val="2"/>
      </rPr>
      <t>ammonium N</t>
    </r>
  </si>
  <si>
    <t>Filtrate % solids</t>
  </si>
  <si>
    <t>Routine O&amp;M Expense</t>
  </si>
  <si>
    <t>Routine O&amp;M Expense, Yr 1</t>
  </si>
  <si>
    <t>Lender's Guarantee Fee (initial, % of total borrowing)</t>
  </si>
  <si>
    <t>Loan Guarantee Fee (annual, % of outstanding principal)</t>
  </si>
  <si>
    <t>Grant, %</t>
  </si>
  <si>
    <t>% Debt (% of hard costs) (mortgage-style amortization)</t>
  </si>
  <si>
    <t>Loan annual guarantee fee on outstanding principal</t>
  </si>
  <si>
    <t>Installed Cost (excluding after-tax grants &amp; cost of financing)</t>
  </si>
  <si>
    <t>Bedding % solids</t>
  </si>
  <si>
    <t>Bedding solids bedding</t>
  </si>
  <si>
    <t>Bedding nutrient availability, %</t>
  </si>
  <si>
    <t>Nutrients applied as bedding, actual lb/acre applied</t>
  </si>
  <si>
    <t>bedding</t>
  </si>
  <si>
    <t>Bedding after separation, tons/day</t>
  </si>
  <si>
    <t>Routine O&amp;M Expense (n year 1 dollars) % of hard costs</t>
  </si>
  <si>
    <t>Acres of Switchgrass</t>
  </si>
  <si>
    <t>Bedding, lb/ton</t>
  </si>
  <si>
    <t>Inputs: - enter numbers in the yellow cells</t>
  </si>
  <si>
    <t>Description</t>
  </si>
  <si>
    <t>Amounts</t>
  </si>
  <si>
    <t>Outputs:  - this is the estimated performance of the digester</t>
  </si>
  <si>
    <t>Cash inflows</t>
  </si>
  <si>
    <t>Cash outflows</t>
  </si>
  <si>
    <t>Bedding</t>
  </si>
  <si>
    <t>Percent of cropland double-cropped &amp; fertilized each year</t>
  </si>
  <si>
    <t>percent</t>
  </si>
  <si>
    <t>Total acres required</t>
  </si>
  <si>
    <t>Acres required to apply bedding</t>
  </si>
  <si>
    <t>tons/yr of bedding DM</t>
  </si>
  <si>
    <t>Comparison of no-digester (manure only) and digester scenarios with land applications based on crop N and P needs and available total N and P in the manure, filtrate, or wet solids digestate</t>
  </si>
  <si>
    <t>gallons/acre</t>
  </si>
  <si>
    <t>N-based rate</t>
  </si>
  <si>
    <t>P-based rate</t>
  </si>
  <si>
    <t>Actual rate</t>
  </si>
  <si>
    <t>P-based rate, gallons/acre/crop</t>
  </si>
  <si>
    <t>N-based rate, gallons/acre/crop, available</t>
  </si>
  <si>
    <t>Rate that covers all available acres</t>
  </si>
  <si>
    <t>Remaining in bedding after separation</t>
  </si>
  <si>
    <t>bedding, lb total annual</t>
  </si>
  <si>
    <t>spreading cost/ton</t>
  </si>
  <si>
    <t>tons/acre P based rate</t>
  </si>
  <si>
    <t>Land application rate, tons/acre</t>
  </si>
  <si>
    <t>Digester - bedding</t>
  </si>
  <si>
    <t>tons/acre actual rate</t>
  </si>
  <si>
    <t>Nutrient application Expense</t>
  </si>
  <si>
    <t>Nutrient value</t>
  </si>
  <si>
    <t>Nutrient value net of application cost</t>
  </si>
  <si>
    <t>difference from manure &amp; food waste</t>
  </si>
  <si>
    <t xml:space="preserve">   Source:  PSU 2023-24 Agronomy Guide, Part I, Section 2, pp. 52-53</t>
  </si>
  <si>
    <t>Payment from digester operator</t>
  </si>
  <si>
    <t>$/1,000 gallons</t>
  </si>
  <si>
    <t>Will you receive separated solids bedding from the digester?</t>
  </si>
  <si>
    <t>Separated solids bedding that will be received per year</t>
  </si>
  <si>
    <t>¢/1,000 gallons</t>
  </si>
  <si>
    <t>paid to digester</t>
  </si>
  <si>
    <t>Do you get paid or charged for returned nutrients?</t>
  </si>
  <si>
    <t>Paid to digester for fertilizer value of nutrients, $/lb</t>
  </si>
  <si>
    <t>manure</t>
  </si>
  <si>
    <t>Payment from digester operator for the manure</t>
  </si>
  <si>
    <t>Payment from digester operator for manure</t>
  </si>
  <si>
    <t>Payment from digester operator for the switchgrass</t>
  </si>
  <si>
    <t>Value of the solids bedding to your operation</t>
  </si>
  <si>
    <t>Manure volume if not participating</t>
  </si>
  <si>
    <t>tons/day of manure</t>
  </si>
  <si>
    <t>Decommissioning at the end of the life</t>
  </si>
  <si>
    <t>Total Value of Grants</t>
  </si>
  <si>
    <t>Investment required to participate with financing costs (before grants, if applicable)</t>
  </si>
  <si>
    <t>Investment required to participate, before financing costs</t>
  </si>
  <si>
    <t>Would you also grow and sell switchgrass to the digester owner?</t>
  </si>
  <si>
    <t>Change in acres required for land application of digestate or digestate liquid</t>
  </si>
  <si>
    <t>Digestate liquid &amp; bedding total</t>
  </si>
  <si>
    <t>tons/day of digestate or digestate liquid</t>
  </si>
  <si>
    <t>digestate or digestate liquid solids %</t>
  </si>
  <si>
    <t>digestate liquid % of digestate liquid &amp; solid</t>
  </si>
  <si>
    <t>digestate liquid solids only based on N lb/1,000 gallons</t>
  </si>
  <si>
    <t>digestate liquid only based on N lb/1,000 gallons, liquid &amp; solid volume</t>
  </si>
  <si>
    <t>digestate liquid only based on N lb/1,000 gallons</t>
  </si>
  <si>
    <t>digestate liquid, lb total annual</t>
  </si>
  <si>
    <t>digestate liquid nutrients lb/1,000 gal</t>
  </si>
  <si>
    <t>digestate liquid &amp; bedding, lb total annual</t>
  </si>
  <si>
    <t>digestate liquid with digester &amp; digestate liquid &amp; grass</t>
  </si>
  <si>
    <t>Acres required to apply digestate liquid, N-based</t>
  </si>
  <si>
    <t>digestate liquid</t>
  </si>
  <si>
    <t>digestate liquid &amp; bedding</t>
  </si>
  <si>
    <t>difference from manure only, digestate liquid &amp; bedding</t>
  </si>
  <si>
    <t>difference from manure only, digestate liquid or digestate</t>
  </si>
  <si>
    <t>Separator digestate liquid</t>
  </si>
  <si>
    <t>Investment required to participate, including financing costs</t>
  </si>
  <si>
    <t>Acres of grass or vegetation you would have available to sell?</t>
  </si>
  <si>
    <t>Financing Costs</t>
  </si>
  <si>
    <t>Cropland acres required for land application based on N</t>
  </si>
  <si>
    <t>Are there enough acres available based on N?</t>
  </si>
  <si>
    <t>Acres based on the N &amp; P rate</t>
  </si>
  <si>
    <t>Are there enough acres available based on N &amp; P?</t>
  </si>
  <si>
    <t>Criterion actually used for the liquid application rate</t>
  </si>
  <si>
    <t>min of needed or N &amp; P based</t>
  </si>
  <si>
    <t>applied at N-based rate</t>
  </si>
  <si>
    <t>applied at N &amp; P based rate</t>
  </si>
  <si>
    <t>min of needed or N based</t>
  </si>
  <si>
    <t>What is the value of the manure solids bedding in terms of replacing the bedding you would use otherwise?</t>
  </si>
  <si>
    <t>Manure solids bedding value</t>
  </si>
  <si>
    <t>$/ton of the bedding you are using now or would otherwise use</t>
  </si>
  <si>
    <t>N &amp; P rate, gallons/acre/crop</t>
  </si>
  <si>
    <t>Rate that covers all acres if between the N and N&amp;P rates</t>
  </si>
  <si>
    <t>Rate used in the economic analysis</t>
  </si>
  <si>
    <t>Manure spreading cost, liquid, base rate, $/acre</t>
  </si>
  <si>
    <t>Base rate, $/acre</t>
  </si>
  <si>
    <t>Paid</t>
  </si>
  <si>
    <t>selected fert value</t>
  </si>
  <si>
    <t>min, app or needed</t>
  </si>
  <si>
    <t>Digestate availability when applied to grass</t>
  </si>
  <si>
    <t>Year 1 cash flow</t>
  </si>
  <si>
    <r>
      <t>Year 1 cash flows</t>
    </r>
    <r>
      <rPr>
        <u/>
        <vertAlign val="superscript"/>
        <sz val="11"/>
        <color theme="1"/>
        <rFont val="Calibri"/>
        <family val="2"/>
        <scheme val="minor"/>
      </rPr>
      <t>a</t>
    </r>
  </si>
  <si>
    <t>Net present values</t>
  </si>
  <si>
    <t>Year 1 cash flows</t>
  </si>
  <si>
    <r>
      <t>Year 1 net cash flow</t>
    </r>
    <r>
      <rPr>
        <vertAlign val="superscript"/>
        <sz val="11"/>
        <rFont val="Calibri"/>
        <family val="2"/>
        <scheme val="minor"/>
      </rPr>
      <t>a</t>
    </r>
  </si>
  <si>
    <r>
      <rPr>
        <vertAlign val="superscript"/>
        <sz val="12"/>
        <color theme="1"/>
        <rFont val="Calibri"/>
        <family val="2"/>
        <scheme val="minor"/>
      </rPr>
      <t>a</t>
    </r>
    <r>
      <rPr>
        <sz val="12"/>
        <color theme="1"/>
        <rFont val="Calibri"/>
        <family val="2"/>
        <scheme val="minor"/>
      </rPr>
      <t>These are the actual year 1 cash flows except that lumpy cash flows are converted to</t>
    </r>
  </si>
  <si>
    <t>Ecosystem services provided by the switchgrass</t>
  </si>
  <si>
    <t>Year 1 net cash flow</t>
  </si>
  <si>
    <t>Total solids in digestate liquid &amp; bedding % of feedstock</t>
  </si>
  <si>
    <t>Calculation of  savings from bedding with the manure solids</t>
  </si>
  <si>
    <t>Total solids &amp; liquid in digestate liquid</t>
  </si>
  <si>
    <t>% of digestate</t>
  </si>
  <si>
    <t>% of bedding</t>
  </si>
  <si>
    <t>Manure solids remaining with bedding after separation</t>
  </si>
  <si>
    <t>Food waste solids remaining with bedding after separation</t>
  </si>
  <si>
    <t>Grass solids remaining with bedding after separation</t>
  </si>
  <si>
    <t>Bedding recycled back into liquid manure that is digested</t>
  </si>
  <si>
    <t>Percent remaining in solids after separation</t>
  </si>
  <si>
    <t>manure, food waste, and grass</t>
  </si>
  <si>
    <t>Total Permanent financing (funds portion of hard costs)</t>
  </si>
  <si>
    <t>Investment required with financing costs and grants</t>
  </si>
  <si>
    <t>Investment required, before financing costs</t>
  </si>
  <si>
    <t>Inflation rates</t>
  </si>
  <si>
    <t>Expenses</t>
  </si>
  <si>
    <t>Value of the solids bedding &amp; nutrients to your operation</t>
  </si>
  <si>
    <t>Manure volume sent to digester/animal unit</t>
  </si>
  <si>
    <t>Animal units supplying manure</t>
  </si>
  <si>
    <t>animal units</t>
  </si>
  <si>
    <t>$/1,000 lb</t>
  </si>
  <si>
    <t>lb/animal unit/day</t>
  </si>
  <si>
    <t>Digestate/liquid &amp; bedding, fertilizer value before applic. cost</t>
  </si>
  <si>
    <t>Land application cost</t>
  </si>
  <si>
    <t>bedding land-applied</t>
  </si>
  <si>
    <t>Grass, % of dry matter</t>
  </si>
  <si>
    <t>Land application rate based on P, gal/acre</t>
  </si>
  <si>
    <t>Rate providing the highest return over application cost</t>
  </si>
  <si>
    <t>Land application rate selected</t>
  </si>
  <si>
    <t>Acres required for land application based on N</t>
  </si>
  <si>
    <t>Acres required for land application based on P</t>
  </si>
  <si>
    <t>Acres required for land application at selected rate</t>
  </si>
  <si>
    <t>applied at P or land-based rate</t>
  </si>
  <si>
    <t>min of selected rate or crop need</t>
  </si>
  <si>
    <t>fert value @ selected rate</t>
  </si>
  <si>
    <t>Bedding volume</t>
  </si>
  <si>
    <t>Total liquid spreading costs at different rates, gallons/acre</t>
  </si>
  <si>
    <t>Manure spreading cost components</t>
  </si>
  <si>
    <t>Total solid spreading costs at different rates, tons/acre</t>
  </si>
  <si>
    <t>Crop mix on the cropland acres receiving digestate</t>
  </si>
  <si>
    <t xml:space="preserve">(Use this space for your own notes.)  The default rates below are based on soil tests from the case farm assuming corn grain in the spring and a mix of crops in the fall. </t>
  </si>
  <si>
    <t>Will the digester owner separate out the solids before returning the digestate?</t>
  </si>
  <si>
    <t>% of manure volume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</si>
</sst>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6" formatCode="&quot;$&quot;#,##0_);[Red]\(&quot;$&quot;#,##0\)"/>
    <numFmt numFmtId="41" formatCode="_(* #,##0_);_(* \(#,##0\);_(* &quot;-&quot;_);_(@_)"/>
    <numFmt numFmtId="44" formatCode="_(&quot;$&quot;* #,##0.00_);_(&quot;$&quot;* \(#,##0.00\);_(&quot;$&quot;* &quot;-&quot;??_);_(@_)"/>
    <numFmt numFmtId="43" formatCode="_(* #,##0.00_);_(* \(#,##0.00\);_(* &quot;-&quot;??_);_(@_)"/>
    <numFmt numFmtId="164" formatCode="0.0%"/>
    <numFmt numFmtId="165" formatCode="_(&quot;$&quot;* #,##0_);_(&quot;$&quot;* \(#,##0\);_(&quot;$&quot;* &quot;-&quot;??_);_(@_)"/>
    <numFmt numFmtId="166" formatCode="&quot;Project&quot;\ #"/>
    <numFmt numFmtId="167" formatCode="0\ &quot;kW&quot;"/>
    <numFmt numFmtId="168" formatCode="&quot;$&quot;#,##0"/>
    <numFmt numFmtId="169" formatCode="&quot;$&quot;#.##&quot;/ Watt&quot;"/>
    <numFmt numFmtId="170" formatCode="&quot;$&quot;#,##0.00"/>
    <numFmt numFmtId="171" formatCode="0.0000"/>
    <numFmt numFmtId="172" formatCode="0.000"/>
    <numFmt numFmtId="173" formatCode="_(* #,##0_);_(* \(#,##0\);_(* &quot;-&quot;??_);_(@_)"/>
    <numFmt numFmtId="174" formatCode="0.000000"/>
    <numFmt numFmtId="175" formatCode="&quot;Year&quot;\ #"/>
    <numFmt numFmtId="176" formatCode="0.0"/>
    <numFmt numFmtId="177" formatCode="&quot;Net Present Value @&quot;\ ##.00%\ &quot;(over defined Useful Life)&quot;"/>
    <numFmt numFmtId="178" formatCode="#,##0.000"/>
    <numFmt numFmtId="179" formatCode="_(* #,##0.000_);_(* \(#,##0.000\);_(* &quot;-&quot;??_);_(@_)"/>
    <numFmt numFmtId="180" formatCode="#,##0.0"/>
    <numFmt numFmtId="181" formatCode="0.000%"/>
    <numFmt numFmtId="182" formatCode="_(* #,##0.0_);_(* \(#,##0.0\);_(* &quot;-&quot;??_);_(@_)"/>
    <numFmt numFmtId="183" formatCode="#,##0.0000"/>
  </numFmts>
  <fonts count="134" x14ac:knownFonts="1">
    <font>
      <sz val="11"/>
      <color theme="1"/>
      <name val="Calibri"/>
      <family val="2"/>
      <scheme val="minor"/>
    </font>
    <font>
      <sz val="12"/>
      <color theme="1"/>
      <name val="Calibri"/>
      <family val="2"/>
      <scheme val="minor"/>
    </font>
    <font>
      <sz val="11"/>
      <color theme="1"/>
      <name val="Calibri"/>
      <family val="2"/>
      <scheme val="minor"/>
    </font>
    <font>
      <b/>
      <sz val="12"/>
      <name val="Arial"/>
      <family val="2"/>
    </font>
    <font>
      <i/>
      <sz val="12"/>
      <name val="Arial"/>
      <family val="2"/>
    </font>
    <font>
      <b/>
      <sz val="12"/>
      <color indexed="62"/>
      <name val="Arial"/>
      <family val="2"/>
    </font>
    <font>
      <sz val="12"/>
      <name val="Arial"/>
      <family val="2"/>
    </font>
    <font>
      <sz val="12"/>
      <color rgb="FFFF0000"/>
      <name val="Arial"/>
      <family val="2"/>
    </font>
    <font>
      <b/>
      <sz val="14"/>
      <name val="Arial"/>
      <family val="2"/>
    </font>
    <font>
      <b/>
      <sz val="12"/>
      <color theme="3"/>
      <name val="Arial"/>
      <family val="2"/>
    </font>
    <font>
      <i/>
      <sz val="11"/>
      <name val="Arial"/>
      <family val="2"/>
    </font>
    <font>
      <b/>
      <sz val="12"/>
      <color indexed="56"/>
      <name val="Arial"/>
      <family val="2"/>
    </font>
    <font>
      <b/>
      <sz val="8"/>
      <color indexed="81"/>
      <name val="Tahoma"/>
      <family val="2"/>
    </font>
    <font>
      <sz val="8"/>
      <color indexed="81"/>
      <name val="Tahoma"/>
      <family val="2"/>
    </font>
    <font>
      <b/>
      <sz val="12"/>
      <color rgb="FFFF0000"/>
      <name val="Arial"/>
      <family val="2"/>
    </font>
    <font>
      <b/>
      <sz val="12"/>
      <color theme="0" tint="-0.14999847407452621"/>
      <name val="Arial"/>
      <family val="2"/>
    </font>
    <font>
      <u/>
      <sz val="8.8000000000000007"/>
      <color theme="10"/>
      <name val="Calibri"/>
      <family val="2"/>
    </font>
    <font>
      <b/>
      <sz val="14"/>
      <color indexed="81"/>
      <name val="Tahoma"/>
      <family val="2"/>
    </font>
    <font>
      <sz val="14"/>
      <color indexed="81"/>
      <name val="Tahoma"/>
      <family val="2"/>
    </font>
    <font>
      <sz val="10"/>
      <name val="Arial"/>
      <family val="2"/>
    </font>
    <font>
      <b/>
      <i/>
      <sz val="12"/>
      <name val="Arial"/>
      <family val="2"/>
    </font>
    <font>
      <u/>
      <sz val="12"/>
      <name val="Arial"/>
      <family val="2"/>
    </font>
    <font>
      <b/>
      <sz val="12"/>
      <color indexed="81"/>
      <name val="Tahoma"/>
      <family val="2"/>
    </font>
    <font>
      <b/>
      <sz val="12"/>
      <color theme="4"/>
      <name val="Arial"/>
      <family val="2"/>
    </font>
    <font>
      <b/>
      <sz val="11"/>
      <color rgb="FFFF0000"/>
      <name val="Calibri"/>
      <family val="2"/>
      <scheme val="minor"/>
    </font>
    <font>
      <u/>
      <sz val="14"/>
      <color indexed="81"/>
      <name val="Tahoma"/>
      <family val="2"/>
    </font>
    <font>
      <b/>
      <u/>
      <sz val="12"/>
      <color theme="0" tint="-0.249977111117893"/>
      <name val="Arial"/>
      <family val="2"/>
    </font>
    <font>
      <sz val="12"/>
      <color theme="1"/>
      <name val="Arial"/>
      <family val="2"/>
    </font>
    <font>
      <b/>
      <sz val="12"/>
      <color indexed="12"/>
      <name val="Arial"/>
      <family val="2"/>
    </font>
    <font>
      <sz val="12"/>
      <color indexed="8"/>
      <name val="Arial"/>
      <family val="2"/>
    </font>
    <font>
      <i/>
      <sz val="12"/>
      <color rgb="FFFF0000"/>
      <name val="Arial"/>
      <family val="2"/>
    </font>
    <font>
      <u/>
      <sz val="18"/>
      <color theme="10"/>
      <name val="Calibri"/>
      <family val="2"/>
    </font>
    <font>
      <b/>
      <sz val="12"/>
      <color indexed="56"/>
      <name val="Times New Roman"/>
      <family val="1"/>
    </font>
    <font>
      <i/>
      <u/>
      <sz val="12"/>
      <name val="Arial"/>
      <family val="2"/>
    </font>
    <font>
      <b/>
      <u/>
      <sz val="12"/>
      <name val="Arial"/>
      <family val="2"/>
    </font>
    <font>
      <b/>
      <sz val="14"/>
      <name val="Tahoma"/>
      <family val="2"/>
    </font>
    <font>
      <b/>
      <i/>
      <sz val="14"/>
      <color rgb="FFC00000"/>
      <name val="Tahoma"/>
      <family val="2"/>
    </font>
    <font>
      <i/>
      <sz val="11"/>
      <color rgb="FFC00000"/>
      <name val="Calibri"/>
      <family val="2"/>
      <scheme val="minor"/>
    </font>
    <font>
      <b/>
      <i/>
      <sz val="11"/>
      <color rgb="FFC00000"/>
      <name val="Calibri"/>
      <family val="2"/>
      <scheme val="minor"/>
    </font>
    <font>
      <b/>
      <i/>
      <sz val="12"/>
      <color theme="4"/>
      <name val="Arial"/>
      <family val="2"/>
    </font>
    <font>
      <sz val="12"/>
      <color rgb="FFC00000"/>
      <name val="Arial"/>
      <family val="2"/>
    </font>
    <font>
      <b/>
      <sz val="12"/>
      <color theme="1"/>
      <name val="Arial"/>
      <family val="2"/>
    </font>
    <font>
      <sz val="11"/>
      <color theme="1"/>
      <name val="Arial"/>
      <family val="2"/>
    </font>
    <font>
      <b/>
      <sz val="14"/>
      <color theme="1"/>
      <name val="Arial"/>
      <family val="2"/>
    </font>
    <font>
      <b/>
      <sz val="11"/>
      <color theme="1"/>
      <name val="Arial"/>
      <family val="2"/>
    </font>
    <font>
      <b/>
      <sz val="11"/>
      <name val="Arial"/>
      <family val="2"/>
    </font>
    <font>
      <sz val="11"/>
      <name val="Arial"/>
      <family val="2"/>
    </font>
    <font>
      <b/>
      <i/>
      <sz val="11"/>
      <name val="Arial"/>
      <family val="2"/>
    </font>
    <font>
      <i/>
      <sz val="11"/>
      <color theme="1"/>
      <name val="Arial"/>
      <family val="2"/>
    </font>
    <font>
      <b/>
      <i/>
      <sz val="11"/>
      <color rgb="FFC00000"/>
      <name val="Arial"/>
      <family val="2"/>
    </font>
    <font>
      <b/>
      <sz val="11"/>
      <color theme="4"/>
      <name val="Arial"/>
      <family val="2"/>
    </font>
    <font>
      <i/>
      <sz val="12"/>
      <color theme="0" tint="-0.499984740745262"/>
      <name val="Arial"/>
      <family val="2"/>
    </font>
    <font>
      <b/>
      <sz val="12"/>
      <color theme="0"/>
      <name val="Arial"/>
      <family val="2"/>
    </font>
    <font>
      <b/>
      <i/>
      <u/>
      <sz val="12"/>
      <name val="Arial"/>
      <family val="2"/>
    </font>
    <font>
      <b/>
      <sz val="12"/>
      <name val="Tahoma"/>
      <family val="2"/>
    </font>
    <font>
      <sz val="14"/>
      <name val="Arial"/>
      <family val="2"/>
    </font>
    <font>
      <b/>
      <i/>
      <sz val="12"/>
      <color theme="0" tint="-0.249977111117893"/>
      <name val="Arial"/>
      <family val="2"/>
    </font>
    <font>
      <i/>
      <sz val="10"/>
      <color theme="0" tint="-0.499984740745262"/>
      <name val="Arial"/>
      <family val="2"/>
    </font>
    <font>
      <i/>
      <sz val="11"/>
      <color theme="0" tint="-0.34998626667073579"/>
      <name val="Arial"/>
      <family val="2"/>
    </font>
    <font>
      <b/>
      <sz val="8"/>
      <name val="Arial"/>
      <family val="2"/>
    </font>
    <font>
      <sz val="12"/>
      <color theme="0"/>
      <name val="Arial"/>
      <family val="2"/>
    </font>
    <font>
      <i/>
      <sz val="12"/>
      <color theme="1"/>
      <name val="Arial"/>
      <family val="2"/>
    </font>
    <font>
      <b/>
      <i/>
      <sz val="11"/>
      <color theme="1"/>
      <name val="Arial"/>
      <family val="2"/>
    </font>
    <font>
      <b/>
      <u/>
      <sz val="12"/>
      <color theme="10"/>
      <name val="Arial"/>
      <family val="2"/>
    </font>
    <font>
      <sz val="12"/>
      <color indexed="81"/>
      <name val="Tahoma"/>
      <family val="2"/>
    </font>
    <font>
      <b/>
      <i/>
      <sz val="11"/>
      <color rgb="FF00B050"/>
      <name val="Arial"/>
      <family val="2"/>
    </font>
    <font>
      <b/>
      <i/>
      <sz val="14"/>
      <color indexed="81"/>
      <name val="Tahoma"/>
      <family val="2"/>
    </font>
    <font>
      <u/>
      <sz val="12"/>
      <color theme="1"/>
      <name val="Calibri"/>
      <family val="2"/>
      <scheme val="minor"/>
    </font>
    <font>
      <b/>
      <sz val="12"/>
      <color theme="0" tint="-0.249977111117893"/>
      <name val="Arial"/>
      <family val="2"/>
    </font>
    <font>
      <sz val="12"/>
      <color theme="0" tint="-0.249977111117893"/>
      <name val="Arial"/>
      <family val="2"/>
    </font>
    <font>
      <b/>
      <sz val="11"/>
      <color rgb="FFFFFF00"/>
      <name val="Arial"/>
      <family val="2"/>
    </font>
    <font>
      <b/>
      <sz val="11"/>
      <color rgb="FFFF0000"/>
      <name val="Arial"/>
      <family val="2"/>
    </font>
    <font>
      <sz val="11"/>
      <color theme="1"/>
      <name val="Calibri"/>
      <family val="2"/>
    </font>
    <font>
      <sz val="9"/>
      <color indexed="81"/>
      <name val="Tahoma"/>
      <family val="2"/>
    </font>
    <font>
      <b/>
      <sz val="9"/>
      <color indexed="81"/>
      <name val="Tahoma"/>
      <family val="2"/>
    </font>
    <font>
      <b/>
      <sz val="11"/>
      <color theme="1"/>
      <name val="Calibri"/>
      <family val="2"/>
      <scheme val="minor"/>
    </font>
    <font>
      <sz val="11"/>
      <name val="Calibri"/>
      <family val="2"/>
      <scheme val="minor"/>
    </font>
    <font>
      <b/>
      <sz val="11"/>
      <name val="Calibri"/>
      <family val="2"/>
      <scheme val="minor"/>
    </font>
    <font>
      <u/>
      <sz val="11"/>
      <color theme="1"/>
      <name val="Calibri"/>
      <family val="2"/>
      <scheme val="minor"/>
    </font>
    <font>
      <u/>
      <sz val="11"/>
      <name val="Calibri"/>
      <family val="2"/>
      <scheme val="minor"/>
    </font>
    <font>
      <sz val="11"/>
      <color theme="0" tint="-0.249977111117893"/>
      <name val="Calibri"/>
      <family val="2"/>
      <scheme val="minor"/>
    </font>
    <font>
      <sz val="12"/>
      <name val="Calibri"/>
      <family val="2"/>
      <scheme val="minor"/>
    </font>
    <font>
      <sz val="12"/>
      <color theme="0" tint="-0.249977111117893"/>
      <name val="Calibri"/>
      <family val="2"/>
      <scheme val="minor"/>
    </font>
    <font>
      <b/>
      <sz val="16"/>
      <name val="Arial"/>
      <family val="2"/>
    </font>
    <font>
      <u/>
      <sz val="14"/>
      <color theme="10"/>
      <name val="Calibri"/>
      <family val="2"/>
    </font>
    <font>
      <sz val="11"/>
      <color rgb="FF000000"/>
      <name val="Calibri"/>
      <family val="2"/>
      <scheme val="minor"/>
    </font>
    <font>
      <i/>
      <sz val="11"/>
      <name val="Calibri"/>
      <family val="2"/>
      <scheme val="minor"/>
    </font>
    <font>
      <b/>
      <sz val="18"/>
      <name val="Times New Roman"/>
      <family val="1"/>
    </font>
    <font>
      <b/>
      <sz val="12"/>
      <color indexed="9"/>
      <name val="Times New Roman"/>
      <family val="1"/>
    </font>
    <font>
      <sz val="12"/>
      <color theme="1"/>
      <name val="Times New Roman"/>
      <family val="1"/>
    </font>
    <font>
      <b/>
      <sz val="12"/>
      <name val="Times New Roman"/>
      <family val="1"/>
    </font>
    <font>
      <sz val="12"/>
      <name val="Times New Roman"/>
      <family val="1"/>
    </font>
    <font>
      <b/>
      <sz val="12"/>
      <color theme="1"/>
      <name val="Times New Roman"/>
      <family val="1"/>
    </font>
    <font>
      <i/>
      <sz val="12"/>
      <name val="Times New Roman"/>
      <family val="1"/>
    </font>
    <font>
      <sz val="12"/>
      <color theme="0" tint="-0.14999847407452621"/>
      <name val="Calibri"/>
      <family val="2"/>
      <scheme val="minor"/>
    </font>
    <font>
      <b/>
      <u/>
      <sz val="14"/>
      <color theme="10"/>
      <name val="Calibri"/>
      <family val="2"/>
    </font>
    <font>
      <sz val="11"/>
      <color theme="0"/>
      <name val="Calibri"/>
      <family val="2"/>
      <scheme val="minor"/>
    </font>
    <font>
      <u/>
      <sz val="12"/>
      <color theme="1"/>
      <name val="Arial"/>
      <family val="2"/>
    </font>
    <font>
      <u/>
      <sz val="11"/>
      <color theme="1"/>
      <name val="Arial"/>
      <family val="2"/>
    </font>
    <font>
      <b/>
      <sz val="11"/>
      <color indexed="62"/>
      <name val="Arial"/>
      <family val="2"/>
    </font>
    <font>
      <b/>
      <sz val="11"/>
      <color theme="0" tint="-0.14999847407452621"/>
      <name val="Arial"/>
      <family val="2"/>
    </font>
    <font>
      <i/>
      <sz val="11"/>
      <color theme="0" tint="-0.14999847407452621"/>
      <name val="Arial"/>
      <family val="2"/>
    </font>
    <font>
      <sz val="14"/>
      <color theme="1"/>
      <name val="Calibri"/>
      <family val="2"/>
      <scheme val="minor"/>
    </font>
    <font>
      <u/>
      <sz val="14"/>
      <color theme="1"/>
      <name val="Calibri"/>
      <family val="2"/>
      <scheme val="minor"/>
    </font>
    <font>
      <sz val="26"/>
      <color theme="0"/>
      <name val="Arial"/>
      <family val="2"/>
    </font>
    <font>
      <i/>
      <sz val="10"/>
      <color theme="1"/>
      <name val="Arial"/>
      <family val="2"/>
    </font>
    <font>
      <u/>
      <sz val="11"/>
      <color theme="10"/>
      <name val="Arial"/>
      <family val="2"/>
    </font>
    <font>
      <b/>
      <sz val="14"/>
      <color theme="1"/>
      <name val="Calibri"/>
      <family val="2"/>
      <scheme val="minor"/>
    </font>
    <font>
      <u/>
      <sz val="11"/>
      <color rgb="FF000000"/>
      <name val="Calibri"/>
      <family val="2"/>
      <scheme val="minor"/>
    </font>
    <font>
      <b/>
      <u/>
      <sz val="12"/>
      <color theme="1"/>
      <name val="Calibri"/>
      <family val="2"/>
      <scheme val="minor"/>
    </font>
    <font>
      <sz val="11"/>
      <color theme="1" tint="0.34998626667073579"/>
      <name val="Calibri"/>
      <family val="2"/>
      <scheme val="minor"/>
    </font>
    <font>
      <b/>
      <sz val="12"/>
      <color rgb="FF0070C0"/>
      <name val="Arial"/>
      <family val="2"/>
    </font>
    <font>
      <sz val="11"/>
      <color rgb="FF222222"/>
      <name val="Calibri"/>
      <family val="2"/>
    </font>
    <font>
      <sz val="11"/>
      <name val="Calibri"/>
      <family val="2"/>
    </font>
    <font>
      <sz val="12"/>
      <name val="Calibri"/>
      <family val="2"/>
    </font>
    <font>
      <b/>
      <sz val="11"/>
      <color theme="4"/>
      <name val="Calibri"/>
      <family val="2"/>
    </font>
    <font>
      <b/>
      <sz val="12"/>
      <color theme="4"/>
      <name val="Calibri"/>
      <family val="2"/>
    </font>
    <font>
      <b/>
      <sz val="11"/>
      <color theme="8" tint="-0.249977111117893"/>
      <name val="Calibri"/>
      <family val="2"/>
    </font>
    <font>
      <sz val="12"/>
      <color theme="1"/>
      <name val="Calibri"/>
      <family val="2"/>
    </font>
    <font>
      <u/>
      <sz val="11"/>
      <name val="Calibri"/>
      <family val="2"/>
    </font>
    <font>
      <i/>
      <sz val="11"/>
      <color rgb="FFD9D9D9"/>
      <name val="Arial"/>
      <family val="2"/>
    </font>
    <font>
      <b/>
      <sz val="11"/>
      <color rgb="FF4F81BD"/>
      <name val="Arial"/>
      <family val="2"/>
    </font>
    <font>
      <vertAlign val="superscript"/>
      <sz val="11"/>
      <name val="Calibri"/>
      <family val="2"/>
      <scheme val="minor"/>
    </font>
    <font>
      <u/>
      <vertAlign val="superscript"/>
      <sz val="11"/>
      <color theme="1"/>
      <name val="Calibri"/>
      <family val="2"/>
      <scheme val="minor"/>
    </font>
    <font>
      <vertAlign val="superscript"/>
      <sz val="12"/>
      <color theme="1"/>
      <name val="Calibri"/>
      <family val="2"/>
      <scheme val="minor"/>
    </font>
    <font>
      <sz val="12"/>
      <color rgb="FF595959"/>
      <name val="Calibri"/>
      <family val="2"/>
      <scheme val="minor"/>
    </font>
    <font>
      <sz val="12"/>
      <color rgb="FF000000"/>
      <name val="Arial"/>
      <family val="2"/>
    </font>
    <font>
      <b/>
      <sz val="12"/>
      <color rgb="FF4F81BD"/>
      <name val="Arial"/>
      <family val="2"/>
    </font>
    <font>
      <b/>
      <sz val="12"/>
      <color theme="1"/>
      <name val="Calibri"/>
      <family val="2"/>
      <scheme val="minor"/>
    </font>
    <font>
      <u/>
      <sz val="12"/>
      <name val="Calibri"/>
      <family val="2"/>
    </font>
    <font>
      <sz val="12"/>
      <color rgb="FF000000"/>
      <name val="Calibri"/>
      <family val="2"/>
    </font>
    <font>
      <u/>
      <sz val="11"/>
      <name val="Arial"/>
      <family val="2"/>
    </font>
    <font>
      <sz val="11"/>
      <color rgb="FF000000"/>
      <name val="Calibri"/>
      <family val="2"/>
    </font>
    <font>
      <b/>
      <sz val="10"/>
      <color theme="4"/>
      <name val="Arial"/>
      <family val="2"/>
    </font>
  </fonts>
  <fills count="25">
    <fill>
      <patternFill patternType="none"/>
    </fill>
    <fill>
      <patternFill patternType="gray125"/>
    </fill>
    <fill>
      <patternFill patternType="solid">
        <fgColor indexed="9"/>
        <bgColor indexed="64"/>
      </patternFill>
    </fill>
    <fill>
      <patternFill patternType="solid">
        <fgColor rgb="FFFF00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99"/>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indexed="22"/>
        <bgColor indexed="64"/>
      </patternFill>
    </fill>
    <fill>
      <patternFill patternType="solid">
        <fgColor theme="3" tint="0.59999389629810485"/>
        <bgColor indexed="64"/>
      </patternFill>
    </fill>
    <fill>
      <patternFill patternType="solid">
        <fgColor rgb="FF00B050"/>
        <bgColor indexed="64"/>
      </patternFill>
    </fill>
    <fill>
      <patternFill patternType="solid">
        <fgColor rgb="FFFFFF00"/>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1F4E78"/>
        <bgColor indexed="64"/>
      </patternFill>
    </fill>
    <fill>
      <patternFill patternType="solid">
        <fgColor theme="4" tint="0.79998168889431442"/>
        <bgColor indexed="64"/>
      </patternFill>
    </fill>
    <fill>
      <patternFill patternType="solid">
        <fgColor theme="6" tint="-0.249977111117893"/>
        <bgColor indexed="64"/>
      </patternFill>
    </fill>
    <fill>
      <patternFill patternType="solid">
        <fgColor theme="8" tint="0.39997558519241921"/>
        <bgColor indexed="64"/>
      </patternFill>
    </fill>
    <fill>
      <patternFill patternType="solid">
        <fgColor rgb="FFD9D9D9"/>
        <bgColor rgb="FF000000"/>
      </patternFill>
    </fill>
    <fill>
      <patternFill patternType="solid">
        <fgColor rgb="FFFFFF00"/>
        <bgColor rgb="FF000000"/>
      </patternFill>
    </fill>
  </fills>
  <borders count="62">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bottom style="thin">
        <color indexed="64"/>
      </bottom>
      <diagonal/>
    </border>
    <border>
      <left/>
      <right/>
      <top style="medium">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indexed="64"/>
      </bottom>
      <diagonal/>
    </border>
    <border>
      <left/>
      <right/>
      <top style="thin">
        <color theme="1" tint="0.499984740745262"/>
      </top>
      <bottom/>
      <diagonal/>
    </border>
    <border>
      <left/>
      <right/>
      <top/>
      <bottom style="double">
        <color indexed="64"/>
      </bottom>
      <diagonal/>
    </border>
    <border>
      <left style="medium">
        <color auto="1"/>
      </left>
      <right style="medium">
        <color auto="1"/>
      </right>
      <top/>
      <bottom/>
      <diagonal/>
    </border>
    <border>
      <left style="thin">
        <color indexed="64"/>
      </left>
      <right style="medium">
        <color indexed="64"/>
      </right>
      <top style="thin">
        <color indexed="64"/>
      </top>
      <bottom/>
      <diagonal/>
    </border>
  </borders>
  <cellStyleXfs count="7">
    <xf numFmtId="0" fontId="0" fillId="0" borderId="0"/>
    <xf numFmtId="44" fontId="2" fillId="0" borderId="0" applyFont="0" applyFill="0" applyBorder="0" applyAlignment="0" applyProtection="0"/>
    <xf numFmtId="9" fontId="2" fillId="0" borderId="0" applyFont="0" applyFill="0" applyBorder="0" applyAlignment="0" applyProtection="0"/>
    <xf numFmtId="0" fontId="16" fillId="0" borderId="0" applyNumberFormat="0" applyFill="0" applyBorder="0" applyAlignment="0" applyProtection="0">
      <alignment vertical="top"/>
      <protection locked="0"/>
    </xf>
    <xf numFmtId="9" fontId="19" fillId="0" borderId="0" applyFont="0" applyFill="0" applyBorder="0" applyAlignment="0" applyProtection="0"/>
    <xf numFmtId="43" fontId="2" fillId="0" borderId="0" applyFont="0" applyFill="0" applyBorder="0" applyAlignment="0" applyProtection="0"/>
    <xf numFmtId="0" fontId="19" fillId="0" borderId="0"/>
  </cellStyleXfs>
  <cellXfs count="1053">
    <xf numFmtId="0" fontId="0" fillId="0" borderId="0" xfId="0"/>
    <xf numFmtId="0" fontId="6" fillId="0" borderId="0" xfId="0" applyFont="1"/>
    <xf numFmtId="0" fontId="3" fillId="5" borderId="1" xfId="0" applyFont="1" applyFill="1" applyBorder="1" applyAlignment="1">
      <alignment horizontal="left"/>
    </xf>
    <xf numFmtId="0" fontId="3" fillId="5" borderId="1" xfId="0" applyFont="1" applyFill="1" applyBorder="1"/>
    <xf numFmtId="0" fontId="4" fillId="2" borderId="4" xfId="0" applyFont="1" applyFill="1" applyBorder="1" applyAlignment="1">
      <alignment horizontal="center"/>
    </xf>
    <xf numFmtId="0" fontId="6" fillId="2" borderId="4" xfId="0" applyFont="1" applyFill="1" applyBorder="1"/>
    <xf numFmtId="3" fontId="3" fillId="5" borderId="1" xfId="0" applyNumberFormat="1" applyFont="1" applyFill="1" applyBorder="1" applyAlignment="1">
      <alignment horizontal="left"/>
    </xf>
    <xf numFmtId="0" fontId="4" fillId="0" borderId="4" xfId="0" applyFont="1" applyBorder="1" applyAlignment="1">
      <alignment horizontal="center"/>
    </xf>
    <xf numFmtId="0" fontId="6" fillId="0" borderId="8" xfId="0" applyFont="1" applyBorder="1"/>
    <xf numFmtId="0" fontId="14" fillId="0" borderId="4" xfId="0" applyFont="1" applyBorder="1" applyAlignment="1">
      <alignment horizontal="center"/>
    </xf>
    <xf numFmtId="0" fontId="14" fillId="0" borderId="0" xfId="0" applyFont="1" applyAlignment="1">
      <alignment horizontal="center"/>
    </xf>
    <xf numFmtId="0" fontId="8" fillId="0" borderId="0" xfId="0" applyFont="1" applyAlignment="1">
      <alignment horizontal="center"/>
    </xf>
    <xf numFmtId="0" fontId="3" fillId="0" borderId="0" xfId="0" applyFont="1" applyAlignment="1">
      <alignment horizontal="center"/>
    </xf>
    <xf numFmtId="0" fontId="6" fillId="0" borderId="0" xfId="0" applyFont="1" applyAlignment="1">
      <alignment horizontal="center"/>
    </xf>
    <xf numFmtId="9" fontId="9" fillId="0" borderId="0" xfId="0" applyNumberFormat="1" applyFont="1" applyAlignment="1">
      <alignment horizontal="center"/>
    </xf>
    <xf numFmtId="0" fontId="6" fillId="5" borderId="2" xfId="0" applyFont="1" applyFill="1" applyBorder="1"/>
    <xf numFmtId="0" fontId="4" fillId="0" borderId="5" xfId="0" applyFont="1" applyBorder="1" applyAlignment="1">
      <alignment horizontal="center"/>
    </xf>
    <xf numFmtId="172" fontId="6" fillId="0" borderId="0" xfId="0" applyNumberFormat="1" applyFont="1"/>
    <xf numFmtId="0" fontId="3" fillId="0" borderId="0" xfId="0" applyFont="1"/>
    <xf numFmtId="168" fontId="6" fillId="0" borderId="0" xfId="0" applyNumberFormat="1" applyFont="1"/>
    <xf numFmtId="0" fontId="6" fillId="0" borderId="9" xfId="0" applyFont="1" applyBorder="1"/>
    <xf numFmtId="6" fontId="6" fillId="0" borderId="0" xfId="0" applyNumberFormat="1" applyFont="1"/>
    <xf numFmtId="6" fontId="6" fillId="0" borderId="9" xfId="0" applyNumberFormat="1" applyFont="1" applyBorder="1"/>
    <xf numFmtId="6" fontId="3" fillId="0" borderId="0" xfId="0" applyNumberFormat="1" applyFont="1"/>
    <xf numFmtId="0" fontId="4" fillId="0" borderId="0" xfId="0" applyFont="1"/>
    <xf numFmtId="40" fontId="4" fillId="0" borderId="0" xfId="0" applyNumberFormat="1" applyFont="1" applyAlignment="1">
      <alignment horizontal="center"/>
    </xf>
    <xf numFmtId="0" fontId="3" fillId="0" borderId="0" xfId="0" applyFont="1" applyAlignment="1">
      <alignment wrapText="1"/>
    </xf>
    <xf numFmtId="0" fontId="20" fillId="0" borderId="0" xfId="0" applyFont="1" applyAlignment="1">
      <alignment wrapText="1"/>
    </xf>
    <xf numFmtId="164" fontId="4" fillId="0" borderId="0" xfId="2" applyNumberFormat="1" applyFont="1" applyAlignment="1"/>
    <xf numFmtId="6" fontId="28" fillId="0" borderId="0" xfId="0" applyNumberFormat="1" applyFont="1" applyAlignment="1">
      <alignment horizontal="center"/>
    </xf>
    <xf numFmtId="0" fontId="6" fillId="0" borderId="22" xfId="0" applyFont="1" applyBorder="1"/>
    <xf numFmtId="0" fontId="3" fillId="9" borderId="0" xfId="0" applyFont="1" applyFill="1"/>
    <xf numFmtId="0" fontId="6" fillId="9" borderId="0" xfId="0" applyFont="1" applyFill="1"/>
    <xf numFmtId="6" fontId="6" fillId="9" borderId="0" xfId="0" applyNumberFormat="1" applyFont="1" applyFill="1"/>
    <xf numFmtId="0" fontId="20" fillId="9" borderId="0" xfId="0" applyFont="1" applyFill="1" applyAlignment="1">
      <alignment horizontal="center"/>
    </xf>
    <xf numFmtId="0" fontId="24" fillId="0" borderId="0" xfId="0" applyFont="1" applyAlignment="1">
      <alignment horizontal="center"/>
    </xf>
    <xf numFmtId="3" fontId="3" fillId="9" borderId="1" xfId="0" applyNumberFormat="1" applyFont="1" applyFill="1" applyBorder="1" applyAlignment="1">
      <alignment horizontal="left" vertical="center"/>
    </xf>
    <xf numFmtId="3" fontId="4" fillId="9" borderId="2" xfId="0" applyNumberFormat="1" applyFont="1" applyFill="1" applyBorder="1" applyAlignment="1">
      <alignment horizontal="center" vertical="center"/>
    </xf>
    <xf numFmtId="0" fontId="0" fillId="4" borderId="2" xfId="0" applyFill="1" applyBorder="1"/>
    <xf numFmtId="0" fontId="0" fillId="4" borderId="3" xfId="0" applyFill="1" applyBorder="1"/>
    <xf numFmtId="0" fontId="6" fillId="2" borderId="4" xfId="0" applyFont="1" applyFill="1" applyBorder="1" applyAlignment="1">
      <alignment vertical="center"/>
    </xf>
    <xf numFmtId="0" fontId="6" fillId="0" borderId="4" xfId="0" applyFont="1" applyBorder="1" applyAlignment="1">
      <alignment vertical="center"/>
    </xf>
    <xf numFmtId="9" fontId="3" fillId="2" borderId="5" xfId="2" applyFont="1" applyFill="1" applyBorder="1" applyAlignment="1">
      <alignment horizontal="center"/>
    </xf>
    <xf numFmtId="0" fontId="31" fillId="0" borderId="0" xfId="3" applyNumberFormat="1" applyFont="1" applyBorder="1" applyAlignment="1" applyProtection="1">
      <alignment vertical="center"/>
    </xf>
    <xf numFmtId="9" fontId="32" fillId="2" borderId="5" xfId="2" applyFont="1" applyFill="1" applyBorder="1" applyAlignment="1">
      <alignment horizontal="center"/>
    </xf>
    <xf numFmtId="0" fontId="4" fillId="0" borderId="0" xfId="0" applyFont="1" applyAlignment="1">
      <alignment horizontal="center"/>
    </xf>
    <xf numFmtId="9" fontId="6" fillId="2" borderId="5" xfId="2" applyFont="1" applyFill="1" applyBorder="1" applyAlignment="1">
      <alignment horizontal="center" vertical="center"/>
    </xf>
    <xf numFmtId="0" fontId="20" fillId="0" borderId="0" xfId="0" applyFont="1" applyAlignment="1">
      <alignment horizontal="center"/>
    </xf>
    <xf numFmtId="171" fontId="6" fillId="0" borderId="0" xfId="0" applyNumberFormat="1" applyFont="1" applyAlignment="1">
      <alignment horizontal="center"/>
    </xf>
    <xf numFmtId="10" fontId="6" fillId="0" borderId="0" xfId="2" applyNumberFormat="1" applyFont="1" applyAlignment="1"/>
    <xf numFmtId="9" fontId="6" fillId="0" borderId="0" xfId="0" applyNumberFormat="1" applyFont="1"/>
    <xf numFmtId="41" fontId="6" fillId="0" borderId="0" xfId="0" applyNumberFormat="1" applyFont="1"/>
    <xf numFmtId="2" fontId="28" fillId="0" borderId="0" xfId="0" applyNumberFormat="1" applyFont="1" applyAlignment="1">
      <alignment horizontal="center"/>
    </xf>
    <xf numFmtId="0" fontId="6" fillId="9" borderId="22" xfId="0" applyFont="1" applyFill="1" applyBorder="1"/>
    <xf numFmtId="0" fontId="35" fillId="4" borderId="1" xfId="0" applyFont="1" applyFill="1" applyBorder="1" applyAlignment="1">
      <alignment horizontal="left" vertical="center"/>
    </xf>
    <xf numFmtId="0" fontId="24" fillId="4" borderId="2" xfId="0" applyFont="1" applyFill="1" applyBorder="1" applyAlignment="1">
      <alignment horizontal="center"/>
    </xf>
    <xf numFmtId="0" fontId="36" fillId="6" borderId="1" xfId="0" applyFont="1" applyFill="1" applyBorder="1"/>
    <xf numFmtId="0" fontId="37" fillId="6" borderId="2" xfId="0" applyFont="1" applyFill="1" applyBorder="1"/>
    <xf numFmtId="0" fontId="38" fillId="6" borderId="2" xfId="0" applyFont="1" applyFill="1" applyBorder="1" applyAlignment="1">
      <alignment horizontal="center"/>
    </xf>
    <xf numFmtId="9" fontId="23" fillId="0" borderId="4" xfId="0" applyNumberFormat="1" applyFont="1" applyBorder="1" applyAlignment="1">
      <alignment horizontal="center"/>
    </xf>
    <xf numFmtId="0" fontId="4" fillId="4" borderId="3" xfId="0" applyFont="1" applyFill="1" applyBorder="1" applyAlignment="1">
      <alignment horizontal="center" vertical="center"/>
    </xf>
    <xf numFmtId="9" fontId="6" fillId="0" borderId="0" xfId="2" applyFont="1" applyFill="1" applyBorder="1" applyAlignment="1">
      <alignment horizontal="center" vertical="center"/>
    </xf>
    <xf numFmtId="0" fontId="20" fillId="4" borderId="1" xfId="0" applyFont="1" applyFill="1" applyBorder="1"/>
    <xf numFmtId="0" fontId="6" fillId="4" borderId="2" xfId="0" applyFont="1" applyFill="1" applyBorder="1"/>
    <xf numFmtId="0" fontId="6" fillId="4" borderId="3" xfId="0" applyFont="1" applyFill="1" applyBorder="1"/>
    <xf numFmtId="0" fontId="37" fillId="6" borderId="3" xfId="0" applyFont="1" applyFill="1" applyBorder="1"/>
    <xf numFmtId="0" fontId="6" fillId="2" borderId="5" xfId="0" applyFont="1" applyFill="1" applyBorder="1" applyAlignment="1">
      <alignment vertical="center"/>
    </xf>
    <xf numFmtId="168" fontId="6" fillId="0" borderId="5" xfId="1" applyNumberFormat="1" applyFont="1" applyBorder="1" applyAlignment="1">
      <alignment horizontal="center" vertical="center"/>
    </xf>
    <xf numFmtId="0" fontId="0" fillId="0" borderId="4" xfId="0" applyBorder="1"/>
    <xf numFmtId="0" fontId="4" fillId="9" borderId="29" xfId="0" applyFont="1" applyFill="1" applyBorder="1" applyAlignment="1">
      <alignment horizontal="center" vertical="center"/>
    </xf>
    <xf numFmtId="0" fontId="4" fillId="9" borderId="29" xfId="0" applyFont="1" applyFill="1" applyBorder="1" applyAlignment="1">
      <alignment horizontal="center" vertical="center" wrapText="1"/>
    </xf>
    <xf numFmtId="0" fontId="30" fillId="2" borderId="0" xfId="0" applyFont="1" applyFill="1" applyAlignment="1">
      <alignment vertical="center"/>
    </xf>
    <xf numFmtId="9" fontId="7" fillId="2" borderId="0" xfId="2" applyFont="1" applyFill="1" applyBorder="1" applyAlignment="1">
      <alignment horizontal="center" vertical="center"/>
    </xf>
    <xf numFmtId="9" fontId="23" fillId="0" borderId="0" xfId="0" applyNumberFormat="1" applyFont="1" applyAlignment="1">
      <alignment horizontal="center"/>
    </xf>
    <xf numFmtId="0" fontId="6" fillId="0" borderId="0" xfId="0" applyFont="1" applyAlignment="1">
      <alignment vertical="center"/>
    </xf>
    <xf numFmtId="168" fontId="6" fillId="0" borderId="0" xfId="1" applyNumberFormat="1" applyFont="1" applyFill="1" applyBorder="1" applyAlignment="1">
      <alignment horizontal="center" vertical="center"/>
    </xf>
    <xf numFmtId="0" fontId="30" fillId="0" borderId="0" xfId="0" applyFont="1" applyAlignment="1">
      <alignment vertical="center"/>
    </xf>
    <xf numFmtId="168" fontId="7" fillId="0" borderId="0" xfId="1" applyNumberFormat="1" applyFont="1" applyFill="1" applyBorder="1" applyAlignment="1">
      <alignment horizontal="center" vertical="center"/>
    </xf>
    <xf numFmtId="9" fontId="7" fillId="0" borderId="0" xfId="2" applyFont="1" applyFill="1" applyBorder="1" applyAlignment="1">
      <alignment horizontal="center" vertical="center"/>
    </xf>
    <xf numFmtId="0" fontId="3" fillId="9" borderId="30" xfId="0" applyFont="1" applyFill="1" applyBorder="1" applyAlignment="1">
      <alignment vertical="center"/>
    </xf>
    <xf numFmtId="168" fontId="6" fillId="0" borderId="4" xfId="0" applyNumberFormat="1" applyFont="1" applyBorder="1" applyAlignment="1">
      <alignment vertical="center"/>
    </xf>
    <xf numFmtId="0" fontId="3" fillId="0" borderId="5" xfId="0" applyFont="1" applyBorder="1" applyAlignment="1">
      <alignment vertical="center"/>
    </xf>
    <xf numFmtId="0" fontId="6" fillId="0" borderId="5" xfId="0" applyFont="1" applyBorder="1" applyAlignment="1">
      <alignment vertical="center"/>
    </xf>
    <xf numFmtId="0" fontId="6" fillId="0" borderId="28" xfId="0" applyFont="1" applyBorder="1" applyAlignment="1">
      <alignment vertical="center"/>
    </xf>
    <xf numFmtId="6" fontId="6" fillId="0" borderId="28" xfId="0" applyNumberFormat="1" applyFont="1" applyBorder="1" applyAlignment="1">
      <alignment vertical="center"/>
    </xf>
    <xf numFmtId="168" fontId="6" fillId="0" borderId="5" xfId="0" applyNumberFormat="1" applyFont="1" applyBorder="1" applyAlignment="1">
      <alignment vertical="center"/>
    </xf>
    <xf numFmtId="168" fontId="3" fillId="0" borderId="5" xfId="0" applyNumberFormat="1" applyFont="1" applyBorder="1" applyAlignment="1">
      <alignment vertical="center"/>
    </xf>
    <xf numFmtId="168" fontId="6" fillId="0" borderId="4" xfId="2" applyNumberFormat="1" applyFont="1" applyFill="1" applyBorder="1" applyAlignment="1">
      <alignment vertical="center"/>
    </xf>
    <xf numFmtId="9" fontId="32" fillId="0" borderId="0" xfId="2" applyFont="1" applyFill="1" applyBorder="1" applyAlignment="1">
      <alignment horizontal="center"/>
    </xf>
    <xf numFmtId="165" fontId="7" fillId="0" borderId="0" xfId="1" applyNumberFormat="1" applyFont="1" applyBorder="1" applyAlignment="1">
      <alignment horizontal="center" vertical="center"/>
    </xf>
    <xf numFmtId="168" fontId="6" fillId="0" borderId="4" xfId="1" applyNumberFormat="1" applyFont="1" applyBorder="1" applyAlignment="1">
      <alignment horizontal="center" vertical="center"/>
    </xf>
    <xf numFmtId="0" fontId="6" fillId="2" borderId="28" xfId="0" applyFont="1" applyFill="1" applyBorder="1" applyAlignment="1">
      <alignment vertical="center"/>
    </xf>
    <xf numFmtId="168" fontId="6" fillId="0" borderId="28" xfId="1" applyNumberFormat="1" applyFont="1" applyBorder="1" applyAlignment="1">
      <alignment horizontal="center" vertical="center"/>
    </xf>
    <xf numFmtId="168" fontId="6" fillId="0" borderId="28" xfId="2" applyNumberFormat="1" applyFont="1" applyFill="1" applyBorder="1" applyAlignment="1">
      <alignment vertical="center"/>
    </xf>
    <xf numFmtId="0" fontId="4" fillId="0" borderId="0" xfId="0" applyFont="1" applyAlignment="1">
      <alignment horizontal="center" vertical="center"/>
    </xf>
    <xf numFmtId="168" fontId="6" fillId="0" borderId="28" xfId="0" applyNumberFormat="1" applyFont="1" applyBorder="1" applyAlignment="1">
      <alignment vertical="center"/>
    </xf>
    <xf numFmtId="0" fontId="6" fillId="0" borderId="4" xfId="0" applyFont="1" applyBorder="1" applyAlignment="1">
      <alignment horizontal="right" vertical="center"/>
    </xf>
    <xf numFmtId="0" fontId="6" fillId="0" borderId="28" xfId="0" applyFont="1" applyBorder="1" applyAlignment="1">
      <alignment horizontal="right" vertical="center"/>
    </xf>
    <xf numFmtId="168" fontId="6" fillId="0" borderId="5" xfId="2" applyNumberFormat="1" applyFont="1" applyFill="1" applyBorder="1" applyAlignment="1">
      <alignment vertical="center"/>
    </xf>
    <xf numFmtId="0" fontId="6" fillId="0" borderId="5" xfId="0" applyFont="1" applyBorder="1" applyAlignment="1">
      <alignment horizontal="right" vertical="center"/>
    </xf>
    <xf numFmtId="0" fontId="4" fillId="9" borderId="31" xfId="0" applyFont="1" applyFill="1" applyBorder="1" applyAlignment="1">
      <alignment horizontal="center" vertical="center" wrapText="1"/>
    </xf>
    <xf numFmtId="9" fontId="23" fillId="2" borderId="5" xfId="2" applyFont="1" applyFill="1" applyBorder="1" applyAlignment="1">
      <alignment horizontal="center" vertical="center"/>
    </xf>
    <xf numFmtId="0" fontId="39" fillId="2" borderId="4" xfId="0" applyFont="1" applyFill="1" applyBorder="1" applyAlignment="1">
      <alignment vertical="center"/>
    </xf>
    <xf numFmtId="168" fontId="23" fillId="0" borderId="4" xfId="1" applyNumberFormat="1" applyFont="1" applyBorder="1" applyAlignment="1">
      <alignment horizontal="center" vertical="center"/>
    </xf>
    <xf numFmtId="0" fontId="39" fillId="2" borderId="28" xfId="0" applyFont="1" applyFill="1" applyBorder="1" applyAlignment="1">
      <alignment vertical="center"/>
    </xf>
    <xf numFmtId="168" fontId="23" fillId="0" borderId="28" xfId="1" applyNumberFormat="1" applyFont="1" applyBorder="1" applyAlignment="1">
      <alignment horizontal="center" vertical="center"/>
    </xf>
    <xf numFmtId="9" fontId="23" fillId="2" borderId="28" xfId="2" applyFont="1" applyFill="1" applyBorder="1" applyAlignment="1">
      <alignment horizontal="center" vertical="center"/>
    </xf>
    <xf numFmtId="0" fontId="40" fillId="0" borderId="0" xfId="0" applyFont="1"/>
    <xf numFmtId="0" fontId="42" fillId="0" borderId="0" xfId="0" applyFont="1"/>
    <xf numFmtId="0" fontId="42" fillId="0" borderId="0" xfId="0" applyFont="1" applyAlignment="1">
      <alignment horizontal="center"/>
    </xf>
    <xf numFmtId="0" fontId="42" fillId="0" borderId="0" xfId="0" applyFont="1" applyAlignment="1">
      <alignment horizontal="center" vertical="center"/>
    </xf>
    <xf numFmtId="0" fontId="44" fillId="5" borderId="19" xfId="0" applyFont="1" applyFill="1" applyBorder="1" applyAlignment="1">
      <alignment horizontal="center" wrapText="1"/>
    </xf>
    <xf numFmtId="0" fontId="44" fillId="5" borderId="11" xfId="0" applyFont="1" applyFill="1" applyBorder="1" applyAlignment="1">
      <alignment horizontal="center" wrapText="1"/>
    </xf>
    <xf numFmtId="0" fontId="44" fillId="5" borderId="20" xfId="0" applyFont="1" applyFill="1" applyBorder="1" applyAlignment="1">
      <alignment horizontal="center" wrapText="1"/>
    </xf>
    <xf numFmtId="0" fontId="44" fillId="5" borderId="17" xfId="0" applyFont="1" applyFill="1" applyBorder="1" applyAlignment="1">
      <alignment horizontal="center"/>
    </xf>
    <xf numFmtId="0" fontId="44" fillId="5" borderId="0" xfId="0" applyFont="1" applyFill="1" applyAlignment="1">
      <alignment horizontal="center"/>
    </xf>
    <xf numFmtId="0" fontId="44" fillId="5" borderId="9" xfId="0" applyFont="1" applyFill="1" applyBorder="1" applyAlignment="1">
      <alignment horizontal="center"/>
    </xf>
    <xf numFmtId="0" fontId="44" fillId="5" borderId="18" xfId="0" applyFont="1" applyFill="1" applyBorder="1" applyAlignment="1">
      <alignment horizontal="center"/>
    </xf>
    <xf numFmtId="0" fontId="42" fillId="0" borderId="19" xfId="0" applyFont="1" applyBorder="1" applyAlignment="1">
      <alignment horizontal="center"/>
    </xf>
    <xf numFmtId="0" fontId="42" fillId="0" borderId="11" xfId="0" applyFont="1" applyBorder="1"/>
    <xf numFmtId="6" fontId="42" fillId="0" borderId="0" xfId="0" applyNumberFormat="1" applyFont="1" applyAlignment="1">
      <alignment horizontal="center" wrapText="1"/>
    </xf>
    <xf numFmtId="0" fontId="42" fillId="0" borderId="17" xfId="0" applyFont="1" applyBorder="1" applyAlignment="1">
      <alignment horizontal="center"/>
    </xf>
    <xf numFmtId="10" fontId="42" fillId="0" borderId="0" xfId="2" applyNumberFormat="1" applyFont="1" applyBorder="1" applyAlignment="1">
      <alignment horizontal="center" wrapText="1"/>
    </xf>
    <xf numFmtId="2" fontId="42" fillId="0" borderId="18" xfId="2" applyNumberFormat="1" applyFont="1" applyBorder="1" applyAlignment="1">
      <alignment horizontal="center" wrapText="1"/>
    </xf>
    <xf numFmtId="0" fontId="42" fillId="0" borderId="0" xfId="0" applyFont="1" applyAlignment="1">
      <alignment wrapText="1"/>
    </xf>
    <xf numFmtId="0" fontId="42" fillId="0" borderId="17" xfId="0" applyFont="1" applyBorder="1" applyAlignment="1">
      <alignment horizontal="center" wrapText="1"/>
    </xf>
    <xf numFmtId="0" fontId="42" fillId="0" borderId="15" xfId="0" applyFont="1" applyBorder="1"/>
    <xf numFmtId="0" fontId="42" fillId="0" borderId="9" xfId="0" applyFont="1" applyBorder="1"/>
    <xf numFmtId="0" fontId="44" fillId="4" borderId="1" xfId="0" applyFont="1" applyFill="1" applyBorder="1" applyAlignment="1">
      <alignment horizontal="left" vertical="center"/>
    </xf>
    <xf numFmtId="0" fontId="42" fillId="4" borderId="2" xfId="0" applyFont="1" applyFill="1" applyBorder="1" applyAlignment="1">
      <alignment horizontal="left" vertical="center"/>
    </xf>
    <xf numFmtId="0" fontId="45" fillId="4" borderId="2" xfId="0" applyFont="1" applyFill="1" applyBorder="1" applyAlignment="1">
      <alignment horizontal="left" vertical="center"/>
    </xf>
    <xf numFmtId="167" fontId="45" fillId="4" borderId="2" xfId="0" applyNumberFormat="1" applyFont="1" applyFill="1" applyBorder="1" applyAlignment="1">
      <alignment horizontal="left" vertical="center"/>
    </xf>
    <xf numFmtId="0" fontId="45" fillId="4" borderId="3" xfId="0" applyFont="1" applyFill="1" applyBorder="1" applyAlignment="1">
      <alignment horizontal="left" vertical="center"/>
    </xf>
    <xf numFmtId="168" fontId="45" fillId="0" borderId="0" xfId="0" applyNumberFormat="1" applyFont="1" applyAlignment="1">
      <alignment horizontal="center"/>
    </xf>
    <xf numFmtId="0" fontId="45" fillId="0" borderId="0" xfId="0" applyFont="1"/>
    <xf numFmtId="0" fontId="46" fillId="0" borderId="11" xfId="0" applyFont="1" applyBorder="1"/>
    <xf numFmtId="0" fontId="46" fillId="0" borderId="20" xfId="0" applyFont="1" applyBorder="1"/>
    <xf numFmtId="6" fontId="47" fillId="0" borderId="9" xfId="0" applyNumberFormat="1" applyFont="1" applyBorder="1" applyAlignment="1">
      <alignment horizontal="center" wrapText="1"/>
    </xf>
    <xf numFmtId="6" fontId="47" fillId="0" borderId="16" xfId="0" applyNumberFormat="1" applyFont="1" applyBorder="1" applyAlignment="1">
      <alignment horizontal="center" wrapText="1"/>
    </xf>
    <xf numFmtId="6" fontId="47" fillId="0" borderId="0" xfId="0" applyNumberFormat="1" applyFont="1" applyAlignment="1">
      <alignment horizontal="center" wrapText="1"/>
    </xf>
    <xf numFmtId="0" fontId="43" fillId="8" borderId="12" xfId="0" applyFont="1" applyFill="1" applyBorder="1" applyAlignment="1">
      <alignment vertical="center"/>
    </xf>
    <xf numFmtId="0" fontId="43" fillId="8" borderId="13" xfId="0" applyFont="1" applyFill="1" applyBorder="1" applyAlignment="1">
      <alignment vertical="center"/>
    </xf>
    <xf numFmtId="0" fontId="43" fillId="8" borderId="14" xfId="0" applyFont="1" applyFill="1" applyBorder="1" applyAlignment="1">
      <alignment vertical="center"/>
    </xf>
    <xf numFmtId="0" fontId="44" fillId="0" borderId="17" xfId="0" applyFont="1" applyBorder="1"/>
    <xf numFmtId="0" fontId="48" fillId="0" borderId="0" xfId="0" applyFont="1" applyAlignment="1">
      <alignment horizontal="center"/>
    </xf>
    <xf numFmtId="0" fontId="48" fillId="0" borderId="0" xfId="0" applyFont="1" applyAlignment="1">
      <alignment horizontal="center" wrapText="1"/>
    </xf>
    <xf numFmtId="164" fontId="42" fillId="0" borderId="0" xfId="2" applyNumberFormat="1" applyFont="1" applyFill="1" applyBorder="1" applyAlignment="1">
      <alignment horizontal="center"/>
    </xf>
    <xf numFmtId="168" fontId="42" fillId="0" borderId="0" xfId="0" applyNumberFormat="1" applyFont="1" applyAlignment="1">
      <alignment horizontal="center"/>
    </xf>
    <xf numFmtId="170" fontId="42" fillId="0" borderId="0" xfId="0" applyNumberFormat="1" applyFont="1" applyAlignment="1">
      <alignment horizontal="center"/>
    </xf>
    <xf numFmtId="9" fontId="42" fillId="0" borderId="0" xfId="0" applyNumberFormat="1" applyFont="1" applyAlignment="1">
      <alignment horizontal="center"/>
    </xf>
    <xf numFmtId="9" fontId="50" fillId="0" borderId="0" xfId="0" applyNumberFormat="1" applyFont="1" applyAlignment="1">
      <alignment horizontal="center"/>
    </xf>
    <xf numFmtId="0" fontId="43" fillId="0" borderId="0" xfId="0" applyFont="1" applyAlignment="1">
      <alignment vertical="center"/>
    </xf>
    <xf numFmtId="0" fontId="6" fillId="0" borderId="0" xfId="0" applyFont="1" applyAlignment="1">
      <alignment horizontal="right"/>
    </xf>
    <xf numFmtId="0" fontId="33" fillId="0" borderId="0" xfId="0" applyFont="1" applyAlignment="1">
      <alignment horizontal="center"/>
    </xf>
    <xf numFmtId="0" fontId="6" fillId="0" borderId="0" xfId="0" applyFont="1" applyAlignment="1">
      <alignment horizontal="left" vertical="center"/>
    </xf>
    <xf numFmtId="9" fontId="27" fillId="0" borderId="0" xfId="0" applyNumberFormat="1" applyFont="1" applyAlignment="1">
      <alignment horizontal="center"/>
    </xf>
    <xf numFmtId="0" fontId="3" fillId="8" borderId="0" xfId="0" applyFont="1" applyFill="1"/>
    <xf numFmtId="0" fontId="6" fillId="8" borderId="0" xfId="0" applyFont="1" applyFill="1"/>
    <xf numFmtId="0" fontId="6" fillId="8" borderId="0" xfId="0" applyFont="1" applyFill="1" applyAlignment="1">
      <alignment horizontal="center"/>
    </xf>
    <xf numFmtId="0" fontId="34" fillId="8" borderId="0" xfId="0" applyFont="1" applyFill="1"/>
    <xf numFmtId="0" fontId="21" fillId="8" borderId="0" xfId="0" applyFont="1" applyFill="1" applyAlignment="1">
      <alignment horizontal="center"/>
    </xf>
    <xf numFmtId="168" fontId="6" fillId="8" borderId="0" xfId="0" applyNumberFormat="1" applyFont="1" applyFill="1" applyAlignment="1">
      <alignment horizontal="center"/>
    </xf>
    <xf numFmtId="0" fontId="7" fillId="8" borderId="0" xfId="0" applyFont="1" applyFill="1"/>
    <xf numFmtId="10" fontId="11" fillId="8" borderId="0" xfId="2" applyNumberFormat="1" applyFont="1" applyFill="1"/>
    <xf numFmtId="10" fontId="6" fillId="8" borderId="0" xfId="2" applyNumberFormat="1" applyFont="1" applyFill="1"/>
    <xf numFmtId="168" fontId="33" fillId="8" borderId="0" xfId="0" applyNumberFormat="1" applyFont="1" applyFill="1" applyAlignment="1">
      <alignment horizontal="center"/>
    </xf>
    <xf numFmtId="168" fontId="6" fillId="8" borderId="0" xfId="0" applyNumberFormat="1" applyFont="1" applyFill="1"/>
    <xf numFmtId="168" fontId="6" fillId="8" borderId="0" xfId="2" applyNumberFormat="1" applyFont="1" applyFill="1"/>
    <xf numFmtId="168" fontId="6" fillId="8" borderId="0" xfId="2" applyNumberFormat="1" applyFont="1" applyFill="1" applyBorder="1"/>
    <xf numFmtId="0" fontId="6" fillId="8" borderId="9" xfId="0" applyFont="1" applyFill="1" applyBorder="1"/>
    <xf numFmtId="168" fontId="6" fillId="8" borderId="9" xfId="0" applyNumberFormat="1" applyFont="1" applyFill="1" applyBorder="1"/>
    <xf numFmtId="168" fontId="4" fillId="8" borderId="0" xfId="0" applyNumberFormat="1" applyFont="1" applyFill="1" applyAlignment="1">
      <alignment horizontal="center" vertical="center"/>
    </xf>
    <xf numFmtId="168" fontId="6" fillId="8" borderId="0" xfId="0" applyNumberFormat="1" applyFont="1" applyFill="1" applyAlignment="1">
      <alignment horizontal="right"/>
    </xf>
    <xf numFmtId="6" fontId="6" fillId="8" borderId="0" xfId="0" applyNumberFormat="1" applyFont="1" applyFill="1" applyAlignment="1">
      <alignment horizontal="right"/>
    </xf>
    <xf numFmtId="0" fontId="4" fillId="8" borderId="22" xfId="0" applyFont="1" applyFill="1" applyBorder="1" applyAlignment="1">
      <alignment horizontal="right"/>
    </xf>
    <xf numFmtId="0" fontId="6" fillId="8" borderId="22" xfId="0" applyFont="1" applyFill="1" applyBorder="1"/>
    <xf numFmtId="0" fontId="3" fillId="8" borderId="22" xfId="0" applyFont="1" applyFill="1" applyBorder="1" applyAlignment="1">
      <alignment horizontal="center"/>
    </xf>
    <xf numFmtId="10" fontId="6" fillId="8" borderId="22" xfId="2" applyNumberFormat="1" applyFont="1" applyFill="1" applyBorder="1" applyAlignment="1">
      <alignment horizontal="right"/>
    </xf>
    <xf numFmtId="0" fontId="3" fillId="8" borderId="0" xfId="0" applyFont="1" applyFill="1" applyAlignment="1">
      <alignment horizontal="center"/>
    </xf>
    <xf numFmtId="10" fontId="6" fillId="8" borderId="0" xfId="2" applyNumberFormat="1" applyFont="1" applyFill="1" applyBorder="1" applyAlignment="1">
      <alignment horizontal="right"/>
    </xf>
    <xf numFmtId="174" fontId="3" fillId="8" borderId="0" xfId="0" applyNumberFormat="1" applyFont="1" applyFill="1" applyAlignment="1">
      <alignment horizontal="left"/>
    </xf>
    <xf numFmtId="174" fontId="6" fillId="8" borderId="0" xfId="0" applyNumberFormat="1" applyFont="1" applyFill="1" applyAlignment="1">
      <alignment horizontal="left"/>
    </xf>
    <xf numFmtId="41" fontId="6" fillId="8" borderId="0" xfId="0" applyNumberFormat="1" applyFont="1" applyFill="1" applyAlignment="1">
      <alignment horizontal="right" wrapText="1"/>
    </xf>
    <xf numFmtId="173" fontId="29" fillId="8" borderId="0" xfId="1" applyNumberFormat="1" applyFont="1" applyFill="1" applyBorder="1" applyAlignment="1">
      <alignment horizontal="right"/>
    </xf>
    <xf numFmtId="9" fontId="6" fillId="8" borderId="0" xfId="0" applyNumberFormat="1" applyFont="1" applyFill="1" applyAlignment="1">
      <alignment horizontal="right" wrapText="1"/>
    </xf>
    <xf numFmtId="41" fontId="6" fillId="8" borderId="4" xfId="0" applyNumberFormat="1" applyFont="1" applyFill="1" applyBorder="1" applyAlignment="1">
      <alignment horizontal="right" wrapText="1"/>
    </xf>
    <xf numFmtId="174" fontId="6" fillId="8" borderId="0" xfId="0" applyNumberFormat="1" applyFont="1" applyFill="1" applyAlignment="1">
      <alignment horizontal="left" indent="2"/>
    </xf>
    <xf numFmtId="174" fontId="6" fillId="8" borderId="0" xfId="0" applyNumberFormat="1" applyFont="1" applyFill="1" applyAlignment="1">
      <alignment horizontal="right"/>
    </xf>
    <xf numFmtId="174" fontId="6" fillId="8" borderId="0" xfId="0" applyNumberFormat="1" applyFont="1" applyFill="1" applyAlignment="1">
      <alignment horizontal="left" indent="1"/>
    </xf>
    <xf numFmtId="41" fontId="11" fillId="8" borderId="0" xfId="0" applyNumberFormat="1" applyFont="1" applyFill="1" applyAlignment="1">
      <alignment horizontal="right" wrapText="1"/>
    </xf>
    <xf numFmtId="6" fontId="6" fillId="8" borderId="0" xfId="0" applyNumberFormat="1" applyFont="1" applyFill="1" applyAlignment="1">
      <alignment horizontal="right" wrapText="1"/>
    </xf>
    <xf numFmtId="174" fontId="6" fillId="8" borderId="0" xfId="0" applyNumberFormat="1" applyFont="1" applyFill="1" applyAlignment="1">
      <alignment horizontal="right" wrapText="1"/>
    </xf>
    <xf numFmtId="41" fontId="11" fillId="8" borderId="9" xfId="0" applyNumberFormat="1" applyFont="1" applyFill="1" applyBorder="1" applyAlignment="1">
      <alignment horizontal="right" wrapText="1"/>
    </xf>
    <xf numFmtId="6" fontId="6" fillId="8" borderId="9" xfId="0" applyNumberFormat="1" applyFont="1" applyFill="1" applyBorder="1" applyAlignment="1">
      <alignment horizontal="right" wrapText="1"/>
    </xf>
    <xf numFmtId="0" fontId="0" fillId="8" borderId="0" xfId="0" applyFill="1"/>
    <xf numFmtId="0" fontId="0" fillId="8" borderId="22" xfId="0" applyFill="1" applyBorder="1"/>
    <xf numFmtId="168" fontId="51" fillId="8" borderId="0" xfId="0" applyNumberFormat="1" applyFont="1" applyFill="1"/>
    <xf numFmtId="9" fontId="52" fillId="0" borderId="0" xfId="0" applyNumberFormat="1" applyFont="1" applyAlignment="1">
      <alignment horizontal="center"/>
    </xf>
    <xf numFmtId="165" fontId="0" fillId="0" borderId="0" xfId="1" applyNumberFormat="1" applyFont="1"/>
    <xf numFmtId="9" fontId="23" fillId="6" borderId="5" xfId="0" applyNumberFormat="1" applyFont="1" applyFill="1" applyBorder="1" applyAlignment="1">
      <alignment horizontal="center"/>
    </xf>
    <xf numFmtId="0" fontId="39" fillId="2" borderId="6" xfId="0" applyFont="1" applyFill="1" applyBorder="1" applyAlignment="1">
      <alignment vertical="center"/>
    </xf>
    <xf numFmtId="168" fontId="23" fillId="0" borderId="6" xfId="1" applyNumberFormat="1" applyFont="1" applyBorder="1" applyAlignment="1">
      <alignment horizontal="center" vertical="center"/>
    </xf>
    <xf numFmtId="2" fontId="6" fillId="0" borderId="0" xfId="0" applyNumberFormat="1" applyFont="1" applyAlignment="1">
      <alignment horizontal="right"/>
    </xf>
    <xf numFmtId="0" fontId="49" fillId="0" borderId="0" xfId="0" applyFont="1" applyAlignment="1">
      <alignment horizontal="center" vertical="center" wrapText="1"/>
    </xf>
    <xf numFmtId="0" fontId="6" fillId="9" borderId="30" xfId="0" applyFont="1" applyFill="1" applyBorder="1" applyAlignment="1">
      <alignment horizontal="center" vertical="center"/>
    </xf>
    <xf numFmtId="0" fontId="6" fillId="9" borderId="7" xfId="0" applyFont="1" applyFill="1" applyBorder="1" applyAlignment="1">
      <alignment horizontal="center" vertical="center" wrapText="1"/>
    </xf>
    <xf numFmtId="0" fontId="54" fillId="0" borderId="0" xfId="0" applyFont="1" applyAlignment="1">
      <alignment vertical="center"/>
    </xf>
    <xf numFmtId="0" fontId="0" fillId="0" borderId="22" xfId="0" applyBorder="1"/>
    <xf numFmtId="0" fontId="6" fillId="0" borderId="25" xfId="0" applyFont="1" applyBorder="1"/>
    <xf numFmtId="0" fontId="55" fillId="0" borderId="0" xfId="0" applyFont="1" applyAlignment="1">
      <alignment vertical="center"/>
    </xf>
    <xf numFmtId="175" fontId="4" fillId="0" borderId="4" xfId="0" applyNumberFormat="1" applyFont="1" applyBorder="1" applyAlignment="1">
      <alignment horizontal="center"/>
    </xf>
    <xf numFmtId="2" fontId="41" fillId="0" borderId="22" xfId="0" applyNumberFormat="1" applyFont="1" applyBorder="1" applyAlignment="1">
      <alignment horizontal="center"/>
    </xf>
    <xf numFmtId="6" fontId="56" fillId="0" borderId="0" xfId="0" applyNumberFormat="1" applyFont="1"/>
    <xf numFmtId="0" fontId="44" fillId="0" borderId="0" xfId="0" applyFont="1"/>
    <xf numFmtId="0" fontId="42" fillId="0" borderId="4" xfId="0" applyFont="1" applyBorder="1"/>
    <xf numFmtId="0" fontId="48" fillId="5" borderId="14" xfId="0" applyFont="1" applyFill="1" applyBorder="1" applyAlignment="1">
      <alignment horizontal="center"/>
    </xf>
    <xf numFmtId="0" fontId="6" fillId="0" borderId="0" xfId="0" applyFont="1" applyAlignment="1">
      <alignment wrapText="1"/>
    </xf>
    <xf numFmtId="9" fontId="6" fillId="0" borderId="9" xfId="0" applyNumberFormat="1" applyFont="1" applyBorder="1"/>
    <xf numFmtId="9" fontId="57" fillId="0" borderId="0" xfId="0" applyNumberFormat="1" applyFont="1"/>
    <xf numFmtId="0" fontId="21" fillId="8" borderId="0" xfId="0" applyFont="1" applyFill="1"/>
    <xf numFmtId="0" fontId="8" fillId="0" borderId="23" xfId="0" applyFont="1" applyBorder="1" applyAlignment="1">
      <alignment horizontal="center"/>
    </xf>
    <xf numFmtId="0" fontId="8" fillId="0" borderId="10" xfId="0" applyFont="1" applyBorder="1" applyAlignment="1">
      <alignment horizontal="center"/>
    </xf>
    <xf numFmtId="0" fontId="6" fillId="0" borderId="10" xfId="0" applyFont="1" applyBorder="1"/>
    <xf numFmtId="6" fontId="3" fillId="0" borderId="22" xfId="0" applyNumberFormat="1" applyFont="1" applyBorder="1"/>
    <xf numFmtId="168" fontId="6" fillId="0" borderId="0" xfId="0" applyNumberFormat="1" applyFont="1" applyAlignment="1">
      <alignment horizontal="right"/>
    </xf>
    <xf numFmtId="9" fontId="5" fillId="0" borderId="0" xfId="2" applyFont="1" applyFill="1" applyBorder="1" applyAlignment="1">
      <alignment horizontal="right"/>
    </xf>
    <xf numFmtId="0" fontId="14" fillId="0" borderId="32" xfId="0" applyFont="1" applyBorder="1" applyAlignment="1">
      <alignment horizontal="center"/>
    </xf>
    <xf numFmtId="0" fontId="6" fillId="0" borderId="24" xfId="0" applyFont="1" applyBorder="1"/>
    <xf numFmtId="164" fontId="4" fillId="0" borderId="0" xfId="2" applyNumberFormat="1" applyFont="1" applyAlignment="1">
      <alignment horizontal="center"/>
    </xf>
    <xf numFmtId="2" fontId="0" fillId="0" borderId="0" xfId="0" applyNumberFormat="1"/>
    <xf numFmtId="0" fontId="6" fillId="0" borderId="9" xfId="0" applyFont="1" applyBorder="1" applyAlignment="1">
      <alignment wrapText="1"/>
    </xf>
    <xf numFmtId="0" fontId="58" fillId="0" borderId="19" xfId="0" applyFont="1" applyBorder="1"/>
    <xf numFmtId="0" fontId="58" fillId="0" borderId="20" xfId="0" applyFont="1" applyBorder="1"/>
    <xf numFmtId="6" fontId="58" fillId="0" borderId="17" xfId="0" applyNumberFormat="1" applyFont="1" applyBorder="1" applyAlignment="1">
      <alignment horizontal="center" wrapText="1"/>
    </xf>
    <xf numFmtId="6" fontId="58" fillId="0" borderId="18" xfId="0" applyNumberFormat="1" applyFont="1" applyBorder="1" applyAlignment="1">
      <alignment horizontal="center" wrapText="1"/>
    </xf>
    <xf numFmtId="0" fontId="58" fillId="0" borderId="15" xfId="0" applyFont="1" applyBorder="1"/>
    <xf numFmtId="0" fontId="58" fillId="0" borderId="16" xfId="0" applyFont="1" applyBorder="1"/>
    <xf numFmtId="6" fontId="59" fillId="0" borderId="0" xfId="0" applyNumberFormat="1" applyFont="1"/>
    <xf numFmtId="6" fontId="14" fillId="0" borderId="0" xfId="0" applyNumberFormat="1" applyFont="1"/>
    <xf numFmtId="0" fontId="6" fillId="5" borderId="3" xfId="0" applyFont="1" applyFill="1" applyBorder="1"/>
    <xf numFmtId="168" fontId="5" fillId="0" borderId="0" xfId="1" applyNumberFormat="1" applyFont="1" applyFill="1" applyBorder="1" applyAlignment="1">
      <alignment horizontal="center"/>
    </xf>
    <xf numFmtId="168" fontId="6" fillId="0" borderId="0" xfId="1" applyNumberFormat="1" applyFont="1" applyFill="1" applyBorder="1" applyAlignment="1">
      <alignment horizontal="center"/>
    </xf>
    <xf numFmtId="164" fontId="5" fillId="3" borderId="0" xfId="2" applyNumberFormat="1" applyFont="1" applyFill="1" applyBorder="1" applyAlignment="1">
      <alignment horizontal="center"/>
    </xf>
    <xf numFmtId="0" fontId="3" fillId="3" borderId="0" xfId="0" applyFont="1" applyFill="1" applyAlignment="1">
      <alignment horizontal="center"/>
    </xf>
    <xf numFmtId="9" fontId="5" fillId="0" borderId="0" xfId="2" applyFont="1" applyFill="1" applyBorder="1" applyAlignment="1">
      <alignment horizontal="center"/>
    </xf>
    <xf numFmtId="0" fontId="8" fillId="5" borderId="10" xfId="0" applyFont="1" applyFill="1" applyBorder="1" applyAlignment="1">
      <alignment vertical="center"/>
    </xf>
    <xf numFmtId="0" fontId="55" fillId="5" borderId="10" xfId="0" applyFont="1" applyFill="1" applyBorder="1" applyAlignment="1">
      <alignment vertical="center"/>
    </xf>
    <xf numFmtId="0" fontId="55" fillId="5" borderId="24" xfId="0" applyFont="1" applyFill="1" applyBorder="1" applyAlignment="1">
      <alignment vertical="center"/>
    </xf>
    <xf numFmtId="1" fontId="0" fillId="0" borderId="0" xfId="0" applyNumberFormat="1"/>
    <xf numFmtId="175" fontId="4" fillId="0" borderId="0" xfId="0" applyNumberFormat="1" applyFont="1" applyAlignment="1">
      <alignment horizontal="center"/>
    </xf>
    <xf numFmtId="1" fontId="40" fillId="0" borderId="0" xfId="0" applyNumberFormat="1" applyFont="1" applyAlignment="1">
      <alignment horizontal="center"/>
    </xf>
    <xf numFmtId="0" fontId="60" fillId="0" borderId="0" xfId="0" applyFont="1"/>
    <xf numFmtId="0" fontId="20" fillId="5" borderId="2" xfId="0" applyFont="1" applyFill="1" applyBorder="1" applyAlignment="1">
      <alignment horizontal="center"/>
    </xf>
    <xf numFmtId="0" fontId="20" fillId="5" borderId="1" xfId="0" applyFont="1" applyFill="1" applyBorder="1"/>
    <xf numFmtId="0" fontId="6" fillId="4" borderId="0" xfId="0" applyFont="1" applyFill="1"/>
    <xf numFmtId="0" fontId="3" fillId="4" borderId="0" xfId="0" applyFont="1" applyFill="1" applyAlignment="1">
      <alignment horizontal="center"/>
    </xf>
    <xf numFmtId="0" fontId="6" fillId="4" borderId="23" xfId="0" applyFont="1" applyFill="1" applyBorder="1"/>
    <xf numFmtId="0" fontId="6" fillId="4" borderId="10" xfId="0" applyFont="1" applyFill="1" applyBorder="1"/>
    <xf numFmtId="0" fontId="3" fillId="4" borderId="10" xfId="0" applyFont="1" applyFill="1" applyBorder="1" applyAlignment="1">
      <alignment horizontal="center"/>
    </xf>
    <xf numFmtId="0" fontId="6" fillId="4" borderId="8" xfId="0" applyFont="1" applyFill="1" applyBorder="1"/>
    <xf numFmtId="0" fontId="61" fillId="4" borderId="0" xfId="0" applyFont="1" applyFill="1"/>
    <xf numFmtId="0" fontId="6" fillId="4" borderId="25" xfId="0" applyFont="1" applyFill="1" applyBorder="1"/>
    <xf numFmtId="0" fontId="6" fillId="4" borderId="26" xfId="0" applyFont="1" applyFill="1" applyBorder="1"/>
    <xf numFmtId="0" fontId="6" fillId="4" borderId="22" xfId="0" applyFont="1" applyFill="1" applyBorder="1"/>
    <xf numFmtId="0" fontId="61" fillId="4" borderId="22" xfId="0" applyFont="1" applyFill="1" applyBorder="1"/>
    <xf numFmtId="0" fontId="3" fillId="4" borderId="22" xfId="0" applyFont="1" applyFill="1" applyBorder="1" applyAlignment="1">
      <alignment horizontal="center"/>
    </xf>
    <xf numFmtId="0" fontId="6" fillId="4" borderId="27" xfId="0" applyFont="1" applyFill="1" applyBorder="1"/>
    <xf numFmtId="0" fontId="53" fillId="4" borderId="10" xfId="0" applyFont="1" applyFill="1" applyBorder="1"/>
    <xf numFmtId="0" fontId="44" fillId="0" borderId="12" xfId="0" applyFont="1" applyBorder="1" applyAlignment="1">
      <alignment vertical="center"/>
    </xf>
    <xf numFmtId="0" fontId="42" fillId="0" borderId="14" xfId="0" applyFont="1" applyBorder="1"/>
    <xf numFmtId="0" fontId="6" fillId="11" borderId="0" xfId="0" applyFont="1" applyFill="1"/>
    <xf numFmtId="169" fontId="4" fillId="11" borderId="0" xfId="0" applyNumberFormat="1" applyFont="1" applyFill="1" applyAlignment="1">
      <alignment horizontal="center"/>
    </xf>
    <xf numFmtId="9" fontId="5" fillId="11" borderId="0" xfId="2" applyFont="1" applyFill="1" applyBorder="1" applyAlignment="1">
      <alignment horizontal="center"/>
    </xf>
    <xf numFmtId="168" fontId="5" fillId="11" borderId="0" xfId="2" applyNumberFormat="1" applyFont="1" applyFill="1" applyBorder="1" applyAlignment="1">
      <alignment horizontal="center"/>
    </xf>
    <xf numFmtId="0" fontId="48" fillId="0" borderId="13" xfId="0" applyFont="1" applyBorder="1" applyAlignment="1">
      <alignment horizontal="center"/>
    </xf>
    <xf numFmtId="0" fontId="65" fillId="0" borderId="12" xfId="0" applyFont="1" applyBorder="1"/>
    <xf numFmtId="1" fontId="69" fillId="0" borderId="0" xfId="0" applyNumberFormat="1" applyFont="1" applyAlignment="1">
      <alignment horizontal="center"/>
    </xf>
    <xf numFmtId="6" fontId="26" fillId="0" borderId="0" xfId="0" applyNumberFormat="1" applyFont="1" applyAlignment="1">
      <alignment horizontal="center"/>
    </xf>
    <xf numFmtId="6" fontId="68" fillId="0" borderId="0" xfId="0" applyNumberFormat="1" applyFont="1"/>
    <xf numFmtId="6" fontId="68" fillId="0" borderId="0" xfId="0" applyNumberFormat="1" applyFont="1" applyAlignment="1">
      <alignment horizontal="center"/>
    </xf>
    <xf numFmtId="0" fontId="69" fillId="0" borderId="0" xfId="0" applyFont="1"/>
    <xf numFmtId="0" fontId="44" fillId="5" borderId="1" xfId="0" applyFont="1" applyFill="1" applyBorder="1"/>
    <xf numFmtId="0" fontId="48" fillId="5" borderId="2" xfId="0" applyFont="1" applyFill="1" applyBorder="1" applyAlignment="1">
      <alignment horizontal="center"/>
    </xf>
    <xf numFmtId="1" fontId="27" fillId="0" borderId="5" xfId="0" applyNumberFormat="1" applyFont="1" applyBorder="1" applyAlignment="1">
      <alignment horizontal="center"/>
    </xf>
    <xf numFmtId="2" fontId="23" fillId="0" borderId="5" xfId="0" applyNumberFormat="1" applyFont="1" applyBorder="1" applyAlignment="1">
      <alignment horizontal="center"/>
    </xf>
    <xf numFmtId="1" fontId="27" fillId="0" borderId="4" xfId="0" applyNumberFormat="1" applyFont="1" applyBorder="1" applyAlignment="1">
      <alignment horizontal="center"/>
    </xf>
    <xf numFmtId="2" fontId="23" fillId="0" borderId="4" xfId="0" applyNumberFormat="1" applyFont="1" applyBorder="1" applyAlignment="1">
      <alignment horizontal="center"/>
    </xf>
    <xf numFmtId="3" fontId="3" fillId="5" borderId="6" xfId="0" applyNumberFormat="1" applyFont="1" applyFill="1" applyBorder="1" applyAlignment="1">
      <alignment horizontal="left"/>
    </xf>
    <xf numFmtId="2" fontId="6" fillId="0" borderId="0" xfId="0" applyNumberFormat="1" applyFont="1" applyAlignment="1">
      <alignment horizontal="center"/>
    </xf>
    <xf numFmtId="0" fontId="44" fillId="12" borderId="12" xfId="0" applyFont="1" applyFill="1" applyBorder="1" applyAlignment="1">
      <alignment wrapText="1"/>
    </xf>
    <xf numFmtId="0" fontId="48" fillId="12" borderId="14" xfId="0" applyFont="1" applyFill="1" applyBorder="1" applyAlignment="1">
      <alignment horizontal="center"/>
    </xf>
    <xf numFmtId="166" fontId="20" fillId="5" borderId="3" xfId="0" applyNumberFormat="1" applyFont="1" applyFill="1" applyBorder="1" applyAlignment="1">
      <alignment horizontal="center"/>
    </xf>
    <xf numFmtId="0" fontId="55" fillId="5" borderId="1" xfId="0" applyFont="1" applyFill="1" applyBorder="1" applyAlignment="1">
      <alignment vertical="center"/>
    </xf>
    <xf numFmtId="3" fontId="3" fillId="5" borderId="6" xfId="0" applyNumberFormat="1" applyFont="1" applyFill="1" applyBorder="1" applyAlignment="1">
      <alignment horizontal="center"/>
    </xf>
    <xf numFmtId="0" fontId="14" fillId="0" borderId="5" xfId="0" applyFont="1" applyBorder="1" applyAlignment="1">
      <alignment horizontal="center"/>
    </xf>
    <xf numFmtId="0" fontId="14" fillId="0" borderId="36" xfId="0" applyFont="1" applyBorder="1" applyAlignment="1">
      <alignment horizontal="center"/>
    </xf>
    <xf numFmtId="10" fontId="3" fillId="10" borderId="3" xfId="2" applyNumberFormat="1" applyFont="1" applyFill="1" applyBorder="1" applyAlignment="1">
      <alignment horizontal="center" vertical="center"/>
    </xf>
    <xf numFmtId="0" fontId="3" fillId="10" borderId="1" xfId="0" applyFont="1" applyFill="1" applyBorder="1" applyAlignment="1">
      <alignment horizontal="left" vertical="center" wrapText="1"/>
    </xf>
    <xf numFmtId="0" fontId="3" fillId="10" borderId="3" xfId="0" applyFont="1" applyFill="1" applyBorder="1" applyAlignment="1">
      <alignment horizontal="left" vertical="center" wrapText="1"/>
    </xf>
    <xf numFmtId="168" fontId="3" fillId="8" borderId="0" xfId="0" applyNumberFormat="1" applyFont="1" applyFill="1" applyAlignment="1">
      <alignment horizontal="center"/>
    </xf>
    <xf numFmtId="9" fontId="6" fillId="8" borderId="0" xfId="2" applyFont="1" applyFill="1" applyAlignment="1">
      <alignment horizontal="center"/>
    </xf>
    <xf numFmtId="168" fontId="6" fillId="8" borderId="9" xfId="0" applyNumberFormat="1" applyFont="1" applyFill="1" applyBorder="1" applyAlignment="1">
      <alignment horizontal="center"/>
    </xf>
    <xf numFmtId="9" fontId="6" fillId="8" borderId="9" xfId="2" applyFont="1" applyFill="1" applyBorder="1" applyAlignment="1">
      <alignment horizontal="center"/>
    </xf>
    <xf numFmtId="166" fontId="20" fillId="5" borderId="2" xfId="0" applyNumberFormat="1" applyFont="1" applyFill="1" applyBorder="1" applyAlignment="1">
      <alignment horizontal="center"/>
    </xf>
    <xf numFmtId="0" fontId="6" fillId="0" borderId="30" xfId="0" applyFont="1" applyBorder="1"/>
    <xf numFmtId="0" fontId="6" fillId="0" borderId="37" xfId="0" applyFont="1" applyBorder="1"/>
    <xf numFmtId="0" fontId="4" fillId="2" borderId="38" xfId="0" applyFont="1" applyFill="1" applyBorder="1" applyAlignment="1">
      <alignment horizontal="center"/>
    </xf>
    <xf numFmtId="168" fontId="6" fillId="0" borderId="39" xfId="1" applyNumberFormat="1" applyFont="1" applyFill="1" applyBorder="1" applyAlignment="1">
      <alignment horizontal="right"/>
    </xf>
    <xf numFmtId="0" fontId="6" fillId="0" borderId="42" xfId="0" applyFont="1" applyBorder="1"/>
    <xf numFmtId="0" fontId="4" fillId="0" borderId="33" xfId="0" applyFont="1" applyBorder="1" applyAlignment="1">
      <alignment horizontal="center"/>
    </xf>
    <xf numFmtId="0" fontId="6" fillId="2" borderId="37" xfId="0" applyFont="1" applyFill="1" applyBorder="1"/>
    <xf numFmtId="0" fontId="4" fillId="0" borderId="38" xfId="0" applyFont="1" applyBorder="1" applyAlignment="1">
      <alignment horizontal="center"/>
    </xf>
    <xf numFmtId="0" fontId="4" fillId="2" borderId="44" xfId="0" applyFont="1" applyFill="1" applyBorder="1" applyAlignment="1">
      <alignment horizontal="center"/>
    </xf>
    <xf numFmtId="0" fontId="6" fillId="0" borderId="37" xfId="0" applyFont="1" applyBorder="1" applyAlignment="1">
      <alignment horizontal="left"/>
    </xf>
    <xf numFmtId="0" fontId="6" fillId="0" borderId="40" xfId="0" applyFont="1" applyBorder="1"/>
    <xf numFmtId="0" fontId="6" fillId="0" borderId="42" xfId="0" applyFont="1" applyBorder="1" applyAlignment="1">
      <alignment horizontal="left"/>
    </xf>
    <xf numFmtId="0" fontId="4" fillId="2" borderId="33" xfId="0" applyFont="1" applyFill="1" applyBorder="1" applyAlignment="1">
      <alignment horizontal="center"/>
    </xf>
    <xf numFmtId="168" fontId="6" fillId="0" borderId="36" xfId="0" applyNumberFormat="1" applyFont="1" applyBorder="1" applyAlignment="1">
      <alignment horizontal="right"/>
    </xf>
    <xf numFmtId="0" fontId="6" fillId="0" borderId="40" xfId="0" applyFont="1" applyBorder="1" applyAlignment="1">
      <alignment horizontal="left"/>
    </xf>
    <xf numFmtId="2" fontId="6" fillId="0" borderId="32" xfId="2" applyNumberFormat="1" applyFont="1" applyFill="1" applyBorder="1" applyAlignment="1">
      <alignment horizontal="right"/>
    </xf>
    <xf numFmtId="2" fontId="3" fillId="11" borderId="32" xfId="2" applyNumberFormat="1" applyFont="1" applyFill="1" applyBorder="1" applyAlignment="1">
      <alignment horizontal="right"/>
    </xf>
    <xf numFmtId="2" fontId="23" fillId="0" borderId="32" xfId="2" applyNumberFormat="1" applyFont="1" applyFill="1" applyBorder="1" applyAlignment="1">
      <alignment horizontal="right"/>
    </xf>
    <xf numFmtId="2" fontId="3" fillId="11" borderId="36" xfId="2" applyNumberFormat="1" applyFont="1" applyFill="1" applyBorder="1" applyAlignment="1">
      <alignment horizontal="right"/>
    </xf>
    <xf numFmtId="0" fontId="3" fillId="5" borderId="23" xfId="0" applyFont="1" applyFill="1" applyBorder="1"/>
    <xf numFmtId="0" fontId="20" fillId="5" borderId="10" xfId="0" applyFont="1" applyFill="1" applyBorder="1" applyAlignment="1">
      <alignment horizontal="center"/>
    </xf>
    <xf numFmtId="166" fontId="20" fillId="5" borderId="24" xfId="0" applyNumberFormat="1" applyFont="1" applyFill="1" applyBorder="1" applyAlignment="1">
      <alignment horizontal="center"/>
    </xf>
    <xf numFmtId="0" fontId="6" fillId="0" borderId="46" xfId="0" applyFont="1" applyBorder="1"/>
    <xf numFmtId="0" fontId="6" fillId="2" borderId="42" xfId="0" applyFont="1" applyFill="1" applyBorder="1"/>
    <xf numFmtId="0" fontId="6" fillId="0" borderId="43" xfId="0" applyFont="1" applyBorder="1"/>
    <xf numFmtId="0" fontId="3" fillId="0" borderId="43" xfId="0" applyFont="1" applyBorder="1"/>
    <xf numFmtId="168" fontId="3" fillId="0" borderId="45" xfId="0" applyNumberFormat="1" applyFont="1" applyBorder="1"/>
    <xf numFmtId="0" fontId="6" fillId="0" borderId="33" xfId="0" applyFont="1" applyBorder="1"/>
    <xf numFmtId="0" fontId="4" fillId="0" borderId="36" xfId="0" applyFont="1" applyBorder="1" applyAlignment="1">
      <alignment horizontal="center"/>
    </xf>
    <xf numFmtId="0" fontId="6" fillId="0" borderId="47" xfId="0" applyFont="1" applyBorder="1"/>
    <xf numFmtId="0" fontId="3" fillId="0" borderId="37" xfId="0" applyFont="1" applyBorder="1"/>
    <xf numFmtId="9" fontId="23" fillId="0" borderId="36" xfId="0" applyNumberFormat="1" applyFont="1" applyBorder="1" applyAlignment="1">
      <alignment horizontal="right"/>
    </xf>
    <xf numFmtId="0" fontId="3" fillId="0" borderId="30" xfId="0" applyFont="1" applyBorder="1" applyAlignment="1">
      <alignment horizontal="left"/>
    </xf>
    <xf numFmtId="0" fontId="21" fillId="0" borderId="29" xfId="0" applyFont="1" applyBorder="1" applyAlignment="1">
      <alignment horizontal="center"/>
    </xf>
    <xf numFmtId="0" fontId="21" fillId="0" borderId="31" xfId="0" applyFont="1" applyBorder="1" applyAlignment="1">
      <alignment horizontal="center"/>
    </xf>
    <xf numFmtId="164" fontId="23" fillId="0" borderId="29" xfId="2" applyNumberFormat="1" applyFont="1" applyFill="1" applyBorder="1" applyAlignment="1">
      <alignment horizontal="center"/>
    </xf>
    <xf numFmtId="164" fontId="23" fillId="0" borderId="31" xfId="2" applyNumberFormat="1" applyFont="1" applyFill="1" applyBorder="1" applyAlignment="1">
      <alignment horizontal="center"/>
    </xf>
    <xf numFmtId="0" fontId="6" fillId="0" borderId="42" xfId="0" applyFont="1" applyBorder="1" applyAlignment="1">
      <alignment horizontal="left" indent="1"/>
    </xf>
    <xf numFmtId="164" fontId="23" fillId="0" borderId="33" xfId="2" applyNumberFormat="1" applyFont="1" applyFill="1" applyBorder="1" applyAlignment="1">
      <alignment horizontal="center"/>
    </xf>
    <xf numFmtId="164" fontId="23" fillId="0" borderId="36" xfId="2" applyNumberFormat="1" applyFont="1" applyFill="1" applyBorder="1" applyAlignment="1">
      <alignment horizontal="center"/>
    </xf>
    <xf numFmtId="0" fontId="63" fillId="0" borderId="30" xfId="3" applyFont="1" applyFill="1" applyBorder="1" applyAlignment="1" applyProtection="1"/>
    <xf numFmtId="0" fontId="3" fillId="0" borderId="29" xfId="0" applyFont="1" applyBorder="1"/>
    <xf numFmtId="0" fontId="3" fillId="0" borderId="51" xfId="0" applyFont="1" applyBorder="1"/>
    <xf numFmtId="0" fontId="3" fillId="0" borderId="31" xfId="0" applyFont="1" applyBorder="1"/>
    <xf numFmtId="0" fontId="6" fillId="0" borderId="29" xfId="0" applyFont="1" applyBorder="1"/>
    <xf numFmtId="0" fontId="6" fillId="0" borderId="35" xfId="0" applyFont="1" applyBorder="1"/>
    <xf numFmtId="0" fontId="6" fillId="0" borderId="52" xfId="0" applyFont="1" applyBorder="1"/>
    <xf numFmtId="0" fontId="4" fillId="2" borderId="21" xfId="0" applyFont="1" applyFill="1" applyBorder="1" applyAlignment="1">
      <alignment horizontal="center"/>
    </xf>
    <xf numFmtId="10" fontId="4" fillId="0" borderId="53" xfId="2" applyNumberFormat="1" applyFont="1" applyFill="1" applyBorder="1" applyAlignment="1">
      <alignment horizontal="right"/>
    </xf>
    <xf numFmtId="0" fontId="6" fillId="13" borderId="0" xfId="0" applyFont="1" applyFill="1"/>
    <xf numFmtId="0" fontId="46" fillId="13" borderId="0" xfId="0" applyFont="1" applyFill="1"/>
    <xf numFmtId="0" fontId="16" fillId="13" borderId="0" xfId="3" applyFill="1" applyBorder="1" applyAlignment="1" applyProtection="1"/>
    <xf numFmtId="9" fontId="4" fillId="2" borderId="4" xfId="2" applyFont="1" applyFill="1" applyBorder="1" applyAlignment="1">
      <alignment horizontal="center"/>
    </xf>
    <xf numFmtId="0" fontId="71" fillId="0" borderId="17" xfId="0" applyFont="1" applyBorder="1"/>
    <xf numFmtId="0" fontId="44" fillId="0" borderId="9" xfId="0" applyFont="1" applyBorder="1"/>
    <xf numFmtId="0" fontId="6" fillId="0" borderId="4" xfId="0" applyFont="1" applyBorder="1"/>
    <xf numFmtId="3" fontId="6" fillId="0" borderId="4" xfId="0" applyNumberFormat="1" applyFont="1" applyBorder="1"/>
    <xf numFmtId="168" fontId="23" fillId="0" borderId="4" xfId="1" applyNumberFormat="1" applyFont="1" applyBorder="1" applyAlignment="1" applyProtection="1">
      <alignment horizontal="center" vertical="center"/>
    </xf>
    <xf numFmtId="9" fontId="23" fillId="2" borderId="5" xfId="2" applyFont="1" applyFill="1" applyBorder="1" applyAlignment="1" applyProtection="1">
      <alignment horizontal="center" vertical="center"/>
    </xf>
    <xf numFmtId="168" fontId="23" fillId="0" borderId="6" xfId="1" applyNumberFormat="1" applyFont="1" applyBorder="1" applyAlignment="1" applyProtection="1">
      <alignment horizontal="center" vertical="center"/>
    </xf>
    <xf numFmtId="0" fontId="14" fillId="0" borderId="25" xfId="0" applyFont="1" applyBorder="1" applyAlignment="1">
      <alignment horizontal="center"/>
    </xf>
    <xf numFmtId="168" fontId="3" fillId="0" borderId="0" xfId="0" applyNumberFormat="1" applyFont="1"/>
    <xf numFmtId="172" fontId="6" fillId="0" borderId="0" xfId="0" applyNumberFormat="1" applyFont="1" applyAlignment="1">
      <alignment horizontal="center"/>
    </xf>
    <xf numFmtId="164" fontId="23" fillId="0" borderId="34" xfId="2" applyNumberFormat="1" applyFont="1" applyFill="1" applyBorder="1" applyAlignment="1">
      <alignment horizontal="center"/>
    </xf>
    <xf numFmtId="0" fontId="21" fillId="0" borderId="51" xfId="0" applyFont="1" applyBorder="1" applyAlignment="1">
      <alignment horizontal="center"/>
    </xf>
    <xf numFmtId="164" fontId="23" fillId="0" borderId="51" xfId="2" applyNumberFormat="1" applyFont="1" applyFill="1" applyBorder="1" applyAlignment="1">
      <alignment horizontal="center"/>
    </xf>
    <xf numFmtId="0" fontId="27" fillId="0" borderId="0" xfId="0" applyFont="1"/>
    <xf numFmtId="0" fontId="63" fillId="0" borderId="0" xfId="3" applyFont="1" applyFill="1" applyBorder="1" applyAlignment="1" applyProtection="1"/>
    <xf numFmtId="0" fontId="27" fillId="0" borderId="4" xfId="0" applyFont="1" applyBorder="1"/>
    <xf numFmtId="0" fontId="3" fillId="0" borderId="51" xfId="0" applyFont="1" applyBorder="1" applyAlignment="1">
      <alignment horizontal="center"/>
    </xf>
    <xf numFmtId="0" fontId="3" fillId="0" borderId="2" xfId="0" applyFont="1" applyBorder="1" applyAlignment="1">
      <alignment horizontal="center"/>
    </xf>
    <xf numFmtId="0" fontId="3" fillId="0" borderId="48" xfId="0" applyFont="1" applyBorder="1" applyAlignment="1">
      <alignment horizontal="center"/>
    </xf>
    <xf numFmtId="0" fontId="6" fillId="0" borderId="4" xfId="0" applyFont="1" applyBorder="1" applyAlignment="1">
      <alignment wrapText="1"/>
    </xf>
    <xf numFmtId="164" fontId="4" fillId="0" borderId="0" xfId="2" applyNumberFormat="1" applyFont="1" applyAlignment="1">
      <alignment horizontal="right"/>
    </xf>
    <xf numFmtId="6" fontId="3" fillId="10" borderId="3" xfId="0" applyNumberFormat="1" applyFont="1" applyFill="1" applyBorder="1" applyAlignment="1">
      <alignment horizontal="center"/>
    </xf>
    <xf numFmtId="0" fontId="46" fillId="0" borderId="0" xfId="0" applyFont="1"/>
    <xf numFmtId="177" fontId="3" fillId="10" borderId="1" xfId="0" applyNumberFormat="1" applyFont="1" applyFill="1" applyBorder="1"/>
    <xf numFmtId="177" fontId="3" fillId="10" borderId="3" xfId="0" applyNumberFormat="1" applyFont="1" applyFill="1" applyBorder="1"/>
    <xf numFmtId="6" fontId="45" fillId="0" borderId="0" xfId="0" applyNumberFormat="1" applyFont="1"/>
    <xf numFmtId="2" fontId="44" fillId="0" borderId="0" xfId="0" applyNumberFormat="1" applyFont="1" applyAlignment="1">
      <alignment horizontal="center"/>
    </xf>
    <xf numFmtId="6" fontId="46" fillId="0" borderId="0" xfId="0" applyNumberFormat="1" applyFont="1"/>
    <xf numFmtId="168" fontId="42" fillId="0" borderId="0" xfId="0" applyNumberFormat="1" applyFont="1" applyAlignment="1">
      <alignment horizontal="right"/>
    </xf>
    <xf numFmtId="6" fontId="0" fillId="0" borderId="0" xfId="0" applyNumberFormat="1"/>
    <xf numFmtId="168" fontId="0" fillId="0" borderId="0" xfId="0" applyNumberFormat="1" applyAlignment="1">
      <alignment horizontal="right"/>
    </xf>
    <xf numFmtId="168" fontId="0" fillId="0" borderId="0" xfId="0" applyNumberFormat="1"/>
    <xf numFmtId="9" fontId="0" fillId="0" borderId="0" xfId="2" applyFont="1"/>
    <xf numFmtId="0" fontId="76" fillId="0" borderId="0" xfId="0" applyFont="1"/>
    <xf numFmtId="168" fontId="76" fillId="0" borderId="0" xfId="0" applyNumberFormat="1" applyFont="1"/>
    <xf numFmtId="168" fontId="77" fillId="0" borderId="0" xfId="0" applyNumberFormat="1" applyFont="1"/>
    <xf numFmtId="9" fontId="75" fillId="0" borderId="0" xfId="2" applyFont="1"/>
    <xf numFmtId="168" fontId="75" fillId="0" borderId="0" xfId="0" applyNumberFormat="1" applyFont="1" applyAlignment="1">
      <alignment horizontal="right"/>
    </xf>
    <xf numFmtId="0" fontId="0" fillId="0" borderId="0" xfId="0" applyAlignment="1">
      <alignment wrapText="1"/>
    </xf>
    <xf numFmtId="3" fontId="0" fillId="0" borderId="0" xfId="0" applyNumberFormat="1"/>
    <xf numFmtId="3" fontId="0" fillId="0" borderId="0" xfId="0" applyNumberFormat="1" applyAlignment="1">
      <alignment wrapText="1"/>
    </xf>
    <xf numFmtId="0" fontId="0" fillId="12" borderId="0" xfId="0" applyFill="1"/>
    <xf numFmtId="9" fontId="76" fillId="0" borderId="0" xfId="2" applyFont="1"/>
    <xf numFmtId="3" fontId="76" fillId="0" borderId="0" xfId="0" applyNumberFormat="1" applyFont="1"/>
    <xf numFmtId="10" fontId="76" fillId="0" borderId="0" xfId="0" applyNumberFormat="1" applyFont="1"/>
    <xf numFmtId="164" fontId="76" fillId="0" borderId="0" xfId="2" applyNumberFormat="1" applyFont="1"/>
    <xf numFmtId="0" fontId="0" fillId="0" borderId="0" xfId="0" quotePrefix="1"/>
    <xf numFmtId="0" fontId="78" fillId="0" borderId="0" xfId="0" applyFont="1"/>
    <xf numFmtId="173" fontId="0" fillId="0" borderId="0" xfId="5" applyNumberFormat="1" applyFont="1"/>
    <xf numFmtId="173" fontId="0" fillId="0" borderId="0" xfId="0" applyNumberFormat="1"/>
    <xf numFmtId="164" fontId="0" fillId="0" borderId="0" xfId="2" applyNumberFormat="1" applyFont="1"/>
    <xf numFmtId="44" fontId="0" fillId="0" borderId="0" xfId="1" applyFont="1"/>
    <xf numFmtId="170" fontId="0" fillId="0" borderId="0" xfId="0" applyNumberFormat="1"/>
    <xf numFmtId="43" fontId="0" fillId="0" borderId="0" xfId="5" applyFont="1"/>
    <xf numFmtId="9" fontId="0" fillId="12" borderId="0" xfId="2" applyFont="1" applyFill="1"/>
    <xf numFmtId="43" fontId="0" fillId="0" borderId="0" xfId="0" applyNumberFormat="1"/>
    <xf numFmtId="179" fontId="0" fillId="0" borderId="0" xfId="5" applyNumberFormat="1" applyFont="1"/>
    <xf numFmtId="168" fontId="0" fillId="12" borderId="0" xfId="0" applyNumberFormat="1" applyFill="1"/>
    <xf numFmtId="1" fontId="0" fillId="12" borderId="0" xfId="0" applyNumberFormat="1" applyFill="1"/>
    <xf numFmtId="176" fontId="0" fillId="0" borderId="0" xfId="0" applyNumberFormat="1"/>
    <xf numFmtId="172" fontId="0" fillId="0" borderId="0" xfId="0" applyNumberFormat="1"/>
    <xf numFmtId="44" fontId="0" fillId="0" borderId="0" xfId="1" applyFont="1" applyFill="1"/>
    <xf numFmtId="171" fontId="0" fillId="0" borderId="0" xfId="0" applyNumberFormat="1"/>
    <xf numFmtId="0" fontId="0" fillId="0" borderId="0" xfId="0" applyAlignment="1">
      <alignment horizontal="right"/>
    </xf>
    <xf numFmtId="2" fontId="0" fillId="0" borderId="0" xfId="5" applyNumberFormat="1" applyFont="1"/>
    <xf numFmtId="9" fontId="0" fillId="12" borderId="0" xfId="0" applyNumberFormat="1" applyFill="1"/>
    <xf numFmtId="0" fontId="79" fillId="0" borderId="0" xfId="0" applyFont="1"/>
    <xf numFmtId="0" fontId="76" fillId="0" borderId="0" xfId="0" applyFont="1" applyAlignment="1">
      <alignment horizontal="center"/>
    </xf>
    <xf numFmtId="168" fontId="27" fillId="0" borderId="0" xfId="0" applyNumberFormat="1" applyFont="1"/>
    <xf numFmtId="0" fontId="0" fillId="13" borderId="0" xfId="0" applyFill="1" applyAlignment="1">
      <alignment horizontal="right"/>
    </xf>
    <xf numFmtId="14" fontId="0" fillId="13" borderId="0" xfId="0" applyNumberFormat="1" applyFill="1" applyProtection="1">
      <protection locked="0"/>
    </xf>
    <xf numFmtId="0" fontId="0" fillId="13" borderId="0" xfId="0" applyFill="1"/>
    <xf numFmtId="0" fontId="3" fillId="5" borderId="2" xfId="0" applyFont="1" applyFill="1" applyBorder="1" applyAlignment="1">
      <alignment horizontal="left"/>
    </xf>
    <xf numFmtId="0" fontId="3" fillId="5" borderId="3" xfId="0" applyFont="1" applyFill="1" applyBorder="1" applyAlignment="1">
      <alignment horizontal="left"/>
    </xf>
    <xf numFmtId="10" fontId="76" fillId="0" borderId="0" xfId="2" applyNumberFormat="1" applyFont="1"/>
    <xf numFmtId="10" fontId="0" fillId="0" borderId="0" xfId="2" applyNumberFormat="1" applyFont="1"/>
    <xf numFmtId="178" fontId="0" fillId="0" borderId="0" xfId="0" applyNumberFormat="1"/>
    <xf numFmtId="4" fontId="0" fillId="0" borderId="0" xfId="0" applyNumberFormat="1"/>
    <xf numFmtId="168" fontId="80" fillId="0" borderId="0" xfId="0" applyNumberFormat="1" applyFont="1"/>
    <xf numFmtId="0" fontId="1" fillId="0" borderId="0" xfId="0" applyFont="1"/>
    <xf numFmtId="0" fontId="3" fillId="5" borderId="2" xfId="0" applyFont="1" applyFill="1" applyBorder="1" applyAlignment="1">
      <alignment vertical="center"/>
    </xf>
    <xf numFmtId="0" fontId="3" fillId="5" borderId="10" xfId="0" applyFont="1" applyFill="1" applyBorder="1" applyAlignment="1">
      <alignment vertical="center"/>
    </xf>
    <xf numFmtId="0" fontId="67" fillId="0" borderId="0" xfId="0" applyFont="1"/>
    <xf numFmtId="0" fontId="81" fillId="0" borderId="0" xfId="0" applyFont="1"/>
    <xf numFmtId="0" fontId="82" fillId="0" borderId="4" xfId="0" applyFont="1" applyBorder="1" applyAlignment="1">
      <alignment wrapText="1"/>
    </xf>
    <xf numFmtId="0" fontId="81" fillId="0" borderId="0" xfId="0" applyFont="1" applyAlignment="1">
      <alignment wrapText="1"/>
    </xf>
    <xf numFmtId="0" fontId="82" fillId="0" borderId="0" xfId="0" applyFont="1"/>
    <xf numFmtId="3" fontId="82" fillId="0" borderId="4" xfId="0" applyNumberFormat="1" applyFont="1" applyBorder="1"/>
    <xf numFmtId="3" fontId="81" fillId="0" borderId="0" xfId="0" applyNumberFormat="1" applyFont="1"/>
    <xf numFmtId="9" fontId="82" fillId="0" borderId="0" xfId="0" applyNumberFormat="1" applyFont="1" applyAlignment="1">
      <alignment horizontal="center"/>
    </xf>
    <xf numFmtId="0" fontId="6" fillId="12" borderId="4" xfId="0" applyFont="1" applyFill="1" applyBorder="1"/>
    <xf numFmtId="0" fontId="6" fillId="14" borderId="4" xfId="0" applyFont="1" applyFill="1" applyBorder="1"/>
    <xf numFmtId="0" fontId="21" fillId="0" borderId="10" xfId="0" applyFont="1" applyBorder="1"/>
    <xf numFmtId="0" fontId="58" fillId="0" borderId="0" xfId="0" applyFont="1"/>
    <xf numFmtId="0" fontId="46" fillId="0" borderId="0" xfId="0" applyFont="1" applyAlignment="1">
      <alignment wrapText="1"/>
    </xf>
    <xf numFmtId="0" fontId="84" fillId="0" borderId="0" xfId="3" applyFont="1" applyAlignment="1" applyProtection="1">
      <alignment horizontal="center"/>
    </xf>
    <xf numFmtId="6" fontId="76" fillId="0" borderId="0" xfId="0" applyNumberFormat="1" applyFont="1"/>
    <xf numFmtId="6" fontId="80" fillId="0" borderId="0" xfId="0" applyNumberFormat="1" applyFont="1"/>
    <xf numFmtId="168" fontId="80" fillId="0" borderId="0" xfId="0" applyNumberFormat="1" applyFont="1" applyAlignment="1">
      <alignment horizontal="right"/>
    </xf>
    <xf numFmtId="0" fontId="77" fillId="0" borderId="0" xfId="0" applyFont="1"/>
    <xf numFmtId="9" fontId="77" fillId="0" borderId="0" xfId="2" applyFont="1"/>
    <xf numFmtId="0" fontId="0" fillId="0" borderId="0" xfId="0" applyAlignment="1">
      <alignment vertical="center"/>
    </xf>
    <xf numFmtId="0" fontId="0" fillId="0" borderId="0" xfId="0" applyAlignment="1">
      <alignment vertical="center" wrapText="1"/>
    </xf>
    <xf numFmtId="0" fontId="78" fillId="0" borderId="0" xfId="0" applyFont="1" applyAlignment="1">
      <alignment vertical="center"/>
    </xf>
    <xf numFmtId="0" fontId="42" fillId="0" borderId="4" xfId="0" applyFont="1" applyBorder="1" applyAlignment="1">
      <alignment horizontal="center"/>
    </xf>
    <xf numFmtId="164" fontId="77" fillId="0" borderId="0" xfId="2" applyNumberFormat="1" applyFont="1"/>
    <xf numFmtId="10" fontId="80" fillId="0" borderId="0" xfId="0" applyNumberFormat="1" applyFont="1"/>
    <xf numFmtId="0" fontId="76" fillId="0" borderId="0" xfId="0" applyFont="1" applyAlignment="1">
      <alignment horizontal="center" wrapText="1"/>
    </xf>
    <xf numFmtId="10" fontId="2" fillId="0" borderId="0" xfId="2" applyNumberFormat="1" applyFont="1" applyFill="1" applyBorder="1" applyAlignment="1">
      <alignment horizontal="right"/>
    </xf>
    <xf numFmtId="0" fontId="86" fillId="0" borderId="0" xfId="0" applyFont="1" applyAlignment="1">
      <alignment horizontal="center"/>
    </xf>
    <xf numFmtId="10" fontId="0" fillId="0" borderId="0" xfId="2" applyNumberFormat="1" applyFont="1" applyFill="1" applyBorder="1" applyAlignment="1">
      <alignment horizontal="right"/>
    </xf>
    <xf numFmtId="0" fontId="76" fillId="0" borderId="0" xfId="0" applyFont="1" applyAlignment="1">
      <alignment horizontal="right"/>
    </xf>
    <xf numFmtId="164" fontId="76" fillId="0" borderId="0" xfId="0" applyNumberFormat="1" applyFont="1"/>
    <xf numFmtId="0" fontId="1" fillId="0" borderId="4" xfId="0" applyFont="1" applyBorder="1" applyAlignment="1">
      <alignment wrapText="1"/>
    </xf>
    <xf numFmtId="3" fontId="1" fillId="0" borderId="4" xfId="0" applyNumberFormat="1" applyFont="1" applyBorder="1"/>
    <xf numFmtId="9" fontId="23" fillId="6" borderId="39" xfId="2" applyFont="1" applyFill="1" applyBorder="1" applyAlignment="1" applyProtection="1">
      <alignment horizontal="center"/>
      <protection locked="0"/>
    </xf>
    <xf numFmtId="0" fontId="1" fillId="12" borderId="4" xfId="0" applyFont="1" applyFill="1" applyBorder="1" applyAlignment="1" applyProtection="1">
      <alignment wrapText="1"/>
      <protection locked="0"/>
    </xf>
    <xf numFmtId="9" fontId="1" fillId="12" borderId="4" xfId="2" applyFont="1" applyFill="1" applyBorder="1" applyProtection="1">
      <protection locked="0"/>
    </xf>
    <xf numFmtId="3" fontId="0" fillId="0" borderId="0" xfId="0" applyNumberFormat="1" applyAlignment="1">
      <alignment horizontal="right"/>
    </xf>
    <xf numFmtId="180" fontId="0" fillId="0" borderId="0" xfId="0" applyNumberFormat="1" applyAlignment="1">
      <alignment horizontal="right"/>
    </xf>
    <xf numFmtId="180" fontId="0" fillId="0" borderId="0" xfId="0" applyNumberFormat="1"/>
    <xf numFmtId="164" fontId="0" fillId="0" borderId="0" xfId="2" applyNumberFormat="1" applyFont="1" applyAlignment="1">
      <alignment horizontal="right"/>
    </xf>
    <xf numFmtId="181" fontId="0" fillId="0" borderId="0" xfId="0" applyNumberFormat="1"/>
    <xf numFmtId="173" fontId="6" fillId="0" borderId="0" xfId="0" applyNumberFormat="1" applyFont="1"/>
    <xf numFmtId="0" fontId="6" fillId="0" borderId="4" xfId="0" applyFont="1" applyBorder="1" applyAlignment="1">
      <alignment horizontal="center"/>
    </xf>
    <xf numFmtId="10" fontId="0" fillId="0" borderId="0" xfId="0" applyNumberFormat="1" applyAlignment="1">
      <alignment vertical="center"/>
    </xf>
    <xf numFmtId="168" fontId="0" fillId="0" borderId="0" xfId="0" applyNumberFormat="1" applyAlignment="1">
      <alignment vertical="center"/>
    </xf>
    <xf numFmtId="0" fontId="87" fillId="0" borderId="0" xfId="6" applyFont="1"/>
    <xf numFmtId="0" fontId="88" fillId="0" borderId="0" xfId="6" applyFont="1"/>
    <xf numFmtId="0" fontId="89" fillId="0" borderId="0" xfId="0" applyFont="1"/>
    <xf numFmtId="0" fontId="90" fillId="0" borderId="19" xfId="6" applyFont="1" applyBorder="1"/>
    <xf numFmtId="0" fontId="88" fillId="0" borderId="20" xfId="6" applyFont="1" applyBorder="1"/>
    <xf numFmtId="0" fontId="88" fillId="0" borderId="11" xfId="6" applyFont="1" applyBorder="1"/>
    <xf numFmtId="2" fontId="91" fillId="0" borderId="17" xfId="0" applyNumberFormat="1" applyFont="1" applyBorder="1" applyAlignment="1">
      <alignment horizontal="right"/>
    </xf>
    <xf numFmtId="2" fontId="91" fillId="8" borderId="18" xfId="0" applyNumberFormat="1" applyFont="1" applyFill="1" applyBorder="1" applyAlignment="1" applyProtection="1">
      <alignment horizontal="right"/>
      <protection locked="0"/>
    </xf>
    <xf numFmtId="2" fontId="89" fillId="0" borderId="0" xfId="0" applyNumberFormat="1" applyFont="1" applyAlignment="1">
      <alignment horizontal="left"/>
    </xf>
    <xf numFmtId="2" fontId="89" fillId="0" borderId="0" xfId="0" applyNumberFormat="1" applyFont="1" applyAlignment="1">
      <alignment horizontal="center"/>
    </xf>
    <xf numFmtId="2" fontId="89" fillId="0" borderId="18" xfId="0" applyNumberFormat="1" applyFont="1" applyBorder="1" applyAlignment="1">
      <alignment horizontal="center"/>
    </xf>
    <xf numFmtId="176" fontId="91" fillId="0" borderId="0" xfId="0" applyNumberFormat="1" applyFont="1" applyAlignment="1">
      <alignment horizontal="right"/>
    </xf>
    <xf numFmtId="1" fontId="91" fillId="8" borderId="18" xfId="0" applyNumberFormat="1" applyFont="1" applyFill="1" applyBorder="1" applyAlignment="1" applyProtection="1">
      <alignment horizontal="right"/>
      <protection locked="0"/>
    </xf>
    <xf numFmtId="2" fontId="91" fillId="0" borderId="15" xfId="0" applyNumberFormat="1" applyFont="1" applyBorder="1" applyAlignment="1">
      <alignment horizontal="right"/>
    </xf>
    <xf numFmtId="2" fontId="91" fillId="8" borderId="16" xfId="0" applyNumberFormat="1" applyFont="1" applyFill="1" applyBorder="1" applyAlignment="1">
      <alignment horizontal="right"/>
    </xf>
    <xf numFmtId="2" fontId="89" fillId="0" borderId="9" xfId="0" applyNumberFormat="1" applyFont="1" applyBorder="1" applyAlignment="1">
      <alignment horizontal="center"/>
    </xf>
    <xf numFmtId="2" fontId="89" fillId="0" borderId="16" xfId="0" applyNumberFormat="1" applyFont="1" applyBorder="1" applyAlignment="1">
      <alignment horizontal="center"/>
    </xf>
    <xf numFmtId="2" fontId="91" fillId="0" borderId="0" xfId="0" applyNumberFormat="1" applyFont="1" applyAlignment="1">
      <alignment horizontal="right"/>
    </xf>
    <xf numFmtId="0" fontId="90" fillId="15" borderId="19" xfId="6" applyFont="1" applyFill="1" applyBorder="1"/>
    <xf numFmtId="0" fontId="90" fillId="15" borderId="0" xfId="6" applyFont="1" applyFill="1"/>
    <xf numFmtId="2" fontId="89" fillId="0" borderId="0" xfId="0" applyNumberFormat="1" applyFont="1"/>
    <xf numFmtId="2" fontId="92" fillId="0" borderId="0" xfId="0" applyNumberFormat="1" applyFont="1" applyAlignment="1">
      <alignment horizontal="center" wrapText="1"/>
    </xf>
    <xf numFmtId="2" fontId="92" fillId="0" borderId="0" xfId="0" applyNumberFormat="1" applyFont="1" applyAlignment="1">
      <alignment horizontal="center"/>
    </xf>
    <xf numFmtId="170" fontId="89" fillId="0" borderId="0" xfId="0" applyNumberFormat="1" applyFont="1" applyAlignment="1">
      <alignment horizontal="center"/>
    </xf>
    <xf numFmtId="170" fontId="92" fillId="5" borderId="0" xfId="0" applyNumberFormat="1" applyFont="1" applyFill="1" applyAlignment="1">
      <alignment horizontal="center" vertical="center" textRotation="90"/>
    </xf>
    <xf numFmtId="170" fontId="92" fillId="0" borderId="0" xfId="0" applyNumberFormat="1" applyFont="1" applyAlignment="1">
      <alignment horizontal="center"/>
    </xf>
    <xf numFmtId="2" fontId="89" fillId="0" borderId="0" xfId="0" applyNumberFormat="1" applyFont="1" applyAlignment="1" applyProtection="1">
      <alignment horizontal="left"/>
      <protection locked="0"/>
    </xf>
    <xf numFmtId="170" fontId="89" fillId="0" borderId="0" xfId="0" applyNumberFormat="1" applyFont="1" applyAlignment="1" applyProtection="1">
      <alignment horizontal="center"/>
      <protection locked="0"/>
    </xf>
    <xf numFmtId="2" fontId="89" fillId="0" borderId="0" xfId="0" applyNumberFormat="1" applyFont="1" applyAlignment="1">
      <alignment horizontal="left" indent="5"/>
    </xf>
    <xf numFmtId="170" fontId="89" fillId="6" borderId="56" xfId="0" applyNumberFormat="1" applyFont="1" applyFill="1" applyBorder="1" applyAlignment="1" applyProtection="1">
      <alignment horizontal="center"/>
      <protection locked="0"/>
    </xf>
    <xf numFmtId="2" fontId="89" fillId="6" borderId="56" xfId="0" applyNumberFormat="1" applyFont="1" applyFill="1" applyBorder="1" applyAlignment="1" applyProtection="1">
      <alignment horizontal="center"/>
      <protection locked="0"/>
    </xf>
    <xf numFmtId="2" fontId="91" fillId="0" borderId="0" xfId="0" applyNumberFormat="1" applyFont="1" applyAlignment="1">
      <alignment horizontal="left" indent="5"/>
    </xf>
    <xf numFmtId="170" fontId="91" fillId="6" borderId="56" xfId="0" applyNumberFormat="1" applyFont="1" applyFill="1" applyBorder="1" applyAlignment="1" applyProtection="1">
      <alignment horizontal="center"/>
      <protection locked="0"/>
    </xf>
    <xf numFmtId="170" fontId="91" fillId="0" borderId="0" xfId="0" applyNumberFormat="1" applyFont="1" applyAlignment="1">
      <alignment horizontal="center"/>
    </xf>
    <xf numFmtId="170" fontId="89" fillId="0" borderId="57" xfId="0" applyNumberFormat="1" applyFont="1" applyBorder="1" applyAlignment="1">
      <alignment horizontal="center"/>
    </xf>
    <xf numFmtId="170" fontId="91" fillId="0" borderId="0" xfId="0" applyNumberFormat="1" applyFont="1" applyAlignment="1" applyProtection="1">
      <alignment horizontal="center"/>
      <protection locked="0"/>
    </xf>
    <xf numFmtId="170" fontId="92" fillId="0" borderId="0" xfId="0" applyNumberFormat="1" applyFont="1" applyAlignment="1" applyProtection="1">
      <alignment horizontal="center"/>
      <protection locked="0"/>
    </xf>
    <xf numFmtId="2" fontId="92" fillId="0" borderId="0" xfId="0" applyNumberFormat="1" applyFont="1" applyAlignment="1" applyProtection="1">
      <alignment horizontal="left"/>
      <protection locked="0"/>
    </xf>
    <xf numFmtId="2" fontId="91" fillId="6" borderId="56" xfId="0" applyNumberFormat="1" applyFont="1" applyFill="1" applyBorder="1" applyAlignment="1" applyProtection="1">
      <alignment horizontal="center"/>
      <protection locked="0"/>
    </xf>
    <xf numFmtId="2" fontId="91" fillId="0" borderId="0" xfId="0" applyNumberFormat="1" applyFont="1"/>
    <xf numFmtId="2" fontId="89" fillId="0" borderId="0" xfId="0" applyNumberFormat="1" applyFont="1" applyAlignment="1" applyProtection="1">
      <alignment horizontal="center"/>
      <protection locked="0"/>
    </xf>
    <xf numFmtId="2" fontId="92" fillId="0" borderId="0" xfId="0" applyNumberFormat="1" applyFont="1" applyAlignment="1" applyProtection="1">
      <alignment horizontal="center"/>
      <protection locked="0"/>
    </xf>
    <xf numFmtId="2" fontId="91" fillId="0" borderId="0" xfId="0" applyNumberFormat="1" applyFont="1" applyAlignment="1">
      <alignment horizontal="left" indent="8"/>
    </xf>
    <xf numFmtId="2" fontId="91" fillId="0" borderId="0" xfId="0" applyNumberFormat="1" applyFont="1" applyAlignment="1" applyProtection="1">
      <alignment horizontal="center"/>
      <protection locked="0"/>
    </xf>
    <xf numFmtId="2" fontId="91" fillId="0" borderId="58" xfId="0" applyNumberFormat="1" applyFont="1" applyBorder="1" applyAlignment="1" applyProtection="1">
      <alignment horizontal="center"/>
      <protection locked="0"/>
    </xf>
    <xf numFmtId="2" fontId="92" fillId="0" borderId="0" xfId="0" applyNumberFormat="1" applyFont="1"/>
    <xf numFmtId="9" fontId="89" fillId="6" borderId="56" xfId="2" applyFont="1" applyFill="1" applyBorder="1" applyAlignment="1" applyProtection="1">
      <alignment horizontal="center"/>
      <protection locked="0"/>
    </xf>
    <xf numFmtId="9" fontId="89" fillId="0" borderId="0" xfId="2" applyFont="1" applyFill="1" applyAlignment="1" applyProtection="1">
      <alignment horizontal="center"/>
    </xf>
    <xf numFmtId="170" fontId="90" fillId="0" borderId="0" xfId="1" applyNumberFormat="1" applyFont="1" applyFill="1" applyBorder="1" applyAlignment="1" applyProtection="1">
      <alignment horizontal="center"/>
    </xf>
    <xf numFmtId="2" fontId="91" fillId="0" borderId="0" xfId="0" applyNumberFormat="1" applyFont="1" applyAlignment="1">
      <alignment horizontal="center"/>
    </xf>
    <xf numFmtId="2" fontId="93" fillId="0" borderId="0" xfId="0" applyNumberFormat="1" applyFont="1" applyAlignment="1">
      <alignment horizontal="left"/>
    </xf>
    <xf numFmtId="2" fontId="91" fillId="0" borderId="0" xfId="0" applyNumberFormat="1" applyFont="1" applyAlignment="1">
      <alignment horizontal="left"/>
    </xf>
    <xf numFmtId="2" fontId="90" fillId="0" borderId="0" xfId="0" applyNumberFormat="1" applyFont="1"/>
    <xf numFmtId="2" fontId="90" fillId="0" borderId="0" xfId="0" applyNumberFormat="1" applyFont="1" applyAlignment="1">
      <alignment horizontal="center"/>
    </xf>
    <xf numFmtId="2" fontId="91" fillId="8" borderId="56" xfId="0" applyNumberFormat="1" applyFont="1" applyFill="1" applyBorder="1" applyAlignment="1" applyProtection="1">
      <alignment horizontal="center"/>
      <protection locked="0"/>
    </xf>
    <xf numFmtId="2" fontId="91" fillId="0" borderId="0" xfId="6" applyNumberFormat="1" applyFont="1"/>
    <xf numFmtId="2" fontId="90" fillId="0" borderId="0" xfId="6" applyNumberFormat="1" applyFont="1"/>
    <xf numFmtId="170" fontId="90" fillId="0" borderId="0" xfId="6" applyNumberFormat="1" applyFont="1" applyAlignment="1">
      <alignment horizontal="center"/>
    </xf>
    <xf numFmtId="170" fontId="92" fillId="0" borderId="11" xfId="0" applyNumberFormat="1" applyFont="1" applyBorder="1" applyAlignment="1">
      <alignment horizontal="center"/>
    </xf>
    <xf numFmtId="2" fontId="92" fillId="0" borderId="0" xfId="0" applyNumberFormat="1" applyFont="1" applyAlignment="1">
      <alignment horizontal="left"/>
    </xf>
    <xf numFmtId="2" fontId="90" fillId="0" borderId="0" xfId="0" applyNumberFormat="1" applyFont="1" applyAlignment="1">
      <alignment horizontal="left"/>
    </xf>
    <xf numFmtId="0" fontId="91" fillId="0" borderId="0" xfId="6" applyFont="1"/>
    <xf numFmtId="0" fontId="91" fillId="0" borderId="59" xfId="6" applyFont="1" applyBorder="1"/>
    <xf numFmtId="2" fontId="89" fillId="0" borderId="59" xfId="0" applyNumberFormat="1" applyFont="1" applyBorder="1" applyAlignment="1">
      <alignment horizontal="center"/>
    </xf>
    <xf numFmtId="2" fontId="92" fillId="5" borderId="0" xfId="0" applyNumberFormat="1" applyFont="1" applyFill="1"/>
    <xf numFmtId="2" fontId="89" fillId="5" borderId="0" xfId="0" applyNumberFormat="1" applyFont="1" applyFill="1" applyAlignment="1">
      <alignment horizontal="center"/>
    </xf>
    <xf numFmtId="2" fontId="89" fillId="5" borderId="0" xfId="0" applyNumberFormat="1" applyFont="1" applyFill="1" applyAlignment="1">
      <alignment horizontal="left"/>
    </xf>
    <xf numFmtId="170" fontId="92" fillId="5" borderId="0" xfId="0" applyNumberFormat="1" applyFont="1" applyFill="1" applyAlignment="1">
      <alignment horizontal="center"/>
    </xf>
    <xf numFmtId="2" fontId="91" fillId="0" borderId="19" xfId="0" applyNumberFormat="1" applyFont="1" applyBorder="1"/>
    <xf numFmtId="2" fontId="91" fillId="0" borderId="11" xfId="0" applyNumberFormat="1" applyFont="1" applyBorder="1"/>
    <xf numFmtId="2" fontId="91" fillId="0" borderId="11" xfId="0" applyNumberFormat="1" applyFont="1" applyBorder="1" applyAlignment="1">
      <alignment horizontal="center"/>
    </xf>
    <xf numFmtId="2" fontId="89" fillId="0" borderId="11" xfId="0" applyNumberFormat="1" applyFont="1" applyBorder="1" applyAlignment="1">
      <alignment horizontal="left"/>
    </xf>
    <xf numFmtId="170" fontId="90" fillId="0" borderId="20" xfId="1" applyNumberFormat="1" applyFont="1" applyFill="1" applyBorder="1" applyAlignment="1" applyProtection="1">
      <alignment horizontal="center"/>
    </xf>
    <xf numFmtId="2" fontId="91" fillId="0" borderId="17" xfId="0" applyNumberFormat="1" applyFont="1" applyBorder="1" applyAlignment="1">
      <alignment horizontal="left" indent="5"/>
    </xf>
    <xf numFmtId="9" fontId="91" fillId="0" borderId="0" xfId="2" applyFont="1" applyFill="1" applyBorder="1" applyAlignment="1" applyProtection="1">
      <alignment horizontal="center"/>
    </xf>
    <xf numFmtId="1" fontId="91" fillId="0" borderId="0" xfId="2" applyNumberFormat="1" applyFont="1" applyFill="1" applyBorder="1" applyAlignment="1" applyProtection="1">
      <alignment horizontal="center"/>
    </xf>
    <xf numFmtId="2" fontId="91" fillId="0" borderId="18" xfId="0" applyNumberFormat="1" applyFont="1" applyBorder="1" applyAlignment="1">
      <alignment horizontal="center"/>
    </xf>
    <xf numFmtId="2" fontId="91" fillId="0" borderId="15" xfId="0" applyNumberFormat="1" applyFont="1" applyBorder="1" applyAlignment="1">
      <alignment horizontal="left"/>
    </xf>
    <xf numFmtId="2" fontId="91" fillId="0" borderId="9" xfId="0" applyNumberFormat="1" applyFont="1" applyBorder="1" applyAlignment="1">
      <alignment horizontal="right"/>
    </xf>
    <xf numFmtId="2" fontId="91" fillId="0" borderId="9" xfId="0" applyNumberFormat="1" applyFont="1" applyBorder="1" applyAlignment="1">
      <alignment horizontal="center"/>
    </xf>
    <xf numFmtId="2" fontId="91" fillId="0" borderId="9" xfId="0" applyNumberFormat="1" applyFont="1" applyBorder="1" applyAlignment="1">
      <alignment horizontal="left"/>
    </xf>
    <xf numFmtId="170" fontId="90" fillId="0" borderId="16" xfId="1" applyNumberFormat="1" applyFont="1" applyFill="1" applyBorder="1" applyAlignment="1" applyProtection="1">
      <alignment horizontal="center"/>
    </xf>
    <xf numFmtId="0" fontId="0" fillId="0" borderId="0" xfId="0" applyAlignment="1">
      <alignment horizontal="left"/>
    </xf>
    <xf numFmtId="168" fontId="0" fillId="0" borderId="0" xfId="0" applyNumberFormat="1" applyAlignment="1">
      <alignment wrapText="1"/>
    </xf>
    <xf numFmtId="168" fontId="27" fillId="0" borderId="41" xfId="0" applyNumberFormat="1" applyFont="1" applyBorder="1" applyAlignment="1">
      <alignment horizontal="right"/>
    </xf>
    <xf numFmtId="2" fontId="0" fillId="14" borderId="0" xfId="0" applyNumberFormat="1" applyFill="1"/>
    <xf numFmtId="0" fontId="0" fillId="0" borderId="0" xfId="0" applyAlignment="1">
      <alignment horizontal="left" indent="2"/>
    </xf>
    <xf numFmtId="0" fontId="0" fillId="0" borderId="0" xfId="0" applyAlignment="1">
      <alignment horizontal="left" indent="4"/>
    </xf>
    <xf numFmtId="0" fontId="0" fillId="0" borderId="0" xfId="0" applyAlignment="1">
      <alignment horizontal="left" indent="3"/>
    </xf>
    <xf numFmtId="0" fontId="76" fillId="0" borderId="0" xfId="0" applyFont="1" applyAlignment="1">
      <alignment horizontal="left" indent="3"/>
    </xf>
    <xf numFmtId="0" fontId="0" fillId="12" borderId="4" xfId="0" applyFill="1" applyBorder="1" applyAlignment="1" applyProtection="1">
      <alignment horizontal="center" wrapText="1"/>
      <protection locked="0"/>
    </xf>
    <xf numFmtId="3" fontId="0" fillId="12" borderId="4" xfId="1" applyNumberFormat="1" applyFont="1" applyFill="1" applyBorder="1" applyAlignment="1" applyProtection="1">
      <alignment horizontal="right" indent="2"/>
      <protection locked="0"/>
    </xf>
    <xf numFmtId="3" fontId="0" fillId="12" borderId="4" xfId="0" applyNumberFormat="1" applyFill="1" applyBorder="1" applyAlignment="1" applyProtection="1">
      <alignment horizontal="right" indent="2"/>
      <protection locked="0"/>
    </xf>
    <xf numFmtId="4" fontId="0" fillId="12" borderId="4" xfId="0" applyNumberFormat="1" applyFill="1" applyBorder="1" applyAlignment="1" applyProtection="1">
      <alignment horizontal="right" indent="2"/>
      <protection locked="0"/>
    </xf>
    <xf numFmtId="3" fontId="0" fillId="12" borderId="4" xfId="5" applyNumberFormat="1" applyFont="1" applyFill="1" applyBorder="1" applyAlignment="1" applyProtection="1">
      <alignment horizontal="right" indent="2"/>
      <protection locked="0"/>
    </xf>
    <xf numFmtId="164" fontId="91" fillId="0" borderId="56" xfId="2" applyNumberFormat="1" applyFont="1" applyFill="1" applyBorder="1" applyAlignment="1" applyProtection="1">
      <alignment horizontal="center"/>
      <protection locked="0"/>
    </xf>
    <xf numFmtId="2" fontId="0" fillId="12" borderId="4" xfId="0" applyNumberFormat="1" applyFill="1" applyBorder="1" applyAlignment="1">
      <alignment horizontal="right" indent="2"/>
    </xf>
    <xf numFmtId="1" fontId="0" fillId="12" borderId="4" xfId="0" applyNumberFormat="1" applyFill="1" applyBorder="1" applyAlignment="1">
      <alignment horizontal="right" indent="2"/>
    </xf>
    <xf numFmtId="0" fontId="0" fillId="0" borderId="0" xfId="0" applyAlignment="1">
      <alignment horizontal="center"/>
    </xf>
    <xf numFmtId="1" fontId="0" fillId="12" borderId="4" xfId="0" applyNumberFormat="1" applyFill="1" applyBorder="1" applyAlignment="1">
      <alignment horizontal="center"/>
    </xf>
    <xf numFmtId="0" fontId="94" fillId="0" borderId="0" xfId="0" applyFont="1"/>
    <xf numFmtId="176" fontId="0" fillId="0" borderId="0" xfId="0" applyNumberFormat="1" applyAlignment="1">
      <alignment wrapText="1"/>
    </xf>
    <xf numFmtId="170" fontId="75" fillId="0" borderId="0" xfId="1" applyNumberFormat="1" applyFont="1" applyFill="1" applyBorder="1" applyAlignment="1">
      <alignment horizontal="center"/>
    </xf>
    <xf numFmtId="168" fontId="2" fillId="0" borderId="0" xfId="1" applyNumberFormat="1" applyFont="1" applyFill="1" applyBorder="1" applyAlignment="1">
      <alignment horizontal="right"/>
    </xf>
    <xf numFmtId="170" fontId="2" fillId="0" borderId="0" xfId="1" applyNumberFormat="1" applyFont="1" applyFill="1" applyBorder="1" applyAlignment="1">
      <alignment horizontal="right"/>
    </xf>
    <xf numFmtId="176" fontId="6" fillId="0" borderId="0" xfId="0" applyNumberFormat="1" applyFont="1"/>
    <xf numFmtId="9" fontId="0" fillId="0" borderId="0" xfId="0" applyNumberFormat="1"/>
    <xf numFmtId="168" fontId="27" fillId="0" borderId="4" xfId="0" applyNumberFormat="1" applyFont="1" applyBorder="1"/>
    <xf numFmtId="0" fontId="81" fillId="0" borderId="0" xfId="0" applyFont="1" applyAlignment="1">
      <alignment horizontal="right"/>
    </xf>
    <xf numFmtId="0" fontId="95" fillId="0" borderId="0" xfId="3" applyNumberFormat="1" applyFont="1" applyBorder="1" applyAlignment="1" applyProtection="1">
      <alignment vertical="center"/>
    </xf>
    <xf numFmtId="164" fontId="27" fillId="0" borderId="32" xfId="2" applyNumberFormat="1" applyFont="1" applyFill="1" applyBorder="1" applyAlignment="1">
      <alignment horizontal="right"/>
    </xf>
    <xf numFmtId="164" fontId="27" fillId="0" borderId="41" xfId="2" applyNumberFormat="1" applyFont="1" applyFill="1" applyBorder="1" applyAlignment="1">
      <alignment horizontal="right"/>
    </xf>
    <xf numFmtId="9" fontId="27" fillId="0" borderId="39" xfId="2" applyFont="1" applyFill="1" applyBorder="1" applyAlignment="1">
      <alignment horizontal="right"/>
    </xf>
    <xf numFmtId="1" fontId="27" fillId="0" borderId="32" xfId="0" applyNumberFormat="1" applyFont="1" applyBorder="1" applyAlignment="1">
      <alignment horizontal="right"/>
    </xf>
    <xf numFmtId="10" fontId="27" fillId="0" borderId="32" xfId="2" applyNumberFormat="1" applyFont="1" applyFill="1" applyBorder="1" applyAlignment="1">
      <alignment horizontal="right"/>
    </xf>
    <xf numFmtId="168" fontId="27" fillId="0" borderId="45" xfId="0" applyNumberFormat="1" applyFont="1" applyBorder="1" applyAlignment="1">
      <alignment horizontal="right"/>
    </xf>
    <xf numFmtId="0" fontId="23" fillId="12" borderId="39" xfId="0" applyFont="1" applyFill="1" applyBorder="1" applyAlignment="1">
      <alignment horizontal="right"/>
    </xf>
    <xf numFmtId="164" fontId="23" fillId="12" borderId="32" xfId="2" applyNumberFormat="1" applyFont="1" applyFill="1" applyBorder="1" applyAlignment="1">
      <alignment horizontal="right"/>
    </xf>
    <xf numFmtId="2" fontId="27" fillId="0" borderId="41" xfId="2" applyNumberFormat="1" applyFont="1" applyFill="1" applyBorder="1" applyAlignment="1">
      <alignment horizontal="right"/>
    </xf>
    <xf numFmtId="10" fontId="27" fillId="0" borderId="45" xfId="2" applyNumberFormat="1" applyFont="1" applyFill="1" applyBorder="1" applyAlignment="1">
      <alignment horizontal="right"/>
    </xf>
    <xf numFmtId="0" fontId="3" fillId="5" borderId="23" xfId="0" applyFont="1" applyFill="1" applyBorder="1" applyAlignment="1">
      <alignment horizontal="left"/>
    </xf>
    <xf numFmtId="164" fontId="23" fillId="12" borderId="4" xfId="2" applyNumberFormat="1" applyFont="1" applyFill="1" applyBorder="1" applyProtection="1">
      <protection locked="0"/>
    </xf>
    <xf numFmtId="9" fontId="23" fillId="6" borderId="45" xfId="2" applyFont="1" applyFill="1" applyBorder="1" applyAlignment="1" applyProtection="1">
      <alignment horizontal="center"/>
      <protection locked="0"/>
    </xf>
    <xf numFmtId="164" fontId="23" fillId="12" borderId="36" xfId="2" applyNumberFormat="1" applyFont="1" applyFill="1" applyBorder="1" applyAlignment="1" applyProtection="1">
      <alignment horizontal="right"/>
      <protection locked="0"/>
    </xf>
    <xf numFmtId="10" fontId="23" fillId="12" borderId="36" xfId="2" applyNumberFormat="1" applyFont="1" applyFill="1" applyBorder="1" applyAlignment="1" applyProtection="1">
      <alignment horizontal="right"/>
      <protection locked="0"/>
    </xf>
    <xf numFmtId="9" fontId="23" fillId="6" borderId="31" xfId="2" applyFont="1" applyFill="1" applyBorder="1" applyAlignment="1" applyProtection="1">
      <alignment horizontal="center"/>
      <protection locked="0"/>
    </xf>
    <xf numFmtId="164" fontId="23" fillId="14" borderId="39" xfId="2" applyNumberFormat="1" applyFont="1" applyFill="1" applyBorder="1" applyAlignment="1" applyProtection="1">
      <alignment horizontal="right"/>
      <protection locked="0"/>
    </xf>
    <xf numFmtId="1" fontId="23" fillId="12" borderId="4" xfId="2" applyNumberFormat="1" applyFont="1" applyFill="1" applyBorder="1" applyProtection="1">
      <protection locked="0"/>
    </xf>
    <xf numFmtId="168" fontId="96" fillId="0" borderId="0" xfId="0" applyNumberFormat="1" applyFont="1"/>
    <xf numFmtId="0" fontId="97" fillId="0" borderId="0" xfId="0" applyFont="1"/>
    <xf numFmtId="0" fontId="45" fillId="5" borderId="49" xfId="0" applyFont="1" applyFill="1" applyBorder="1" applyAlignment="1">
      <alignment vertical="center"/>
    </xf>
    <xf numFmtId="0" fontId="46" fillId="12" borderId="4" xfId="0" applyFont="1" applyFill="1" applyBorder="1"/>
    <xf numFmtId="0" fontId="98" fillId="0" borderId="0" xfId="0" applyFont="1" applyAlignment="1">
      <alignment horizontal="center"/>
    </xf>
    <xf numFmtId="3" fontId="45" fillId="5" borderId="4" xfId="0" applyNumberFormat="1" applyFont="1" applyFill="1" applyBorder="1" applyAlignment="1">
      <alignment horizontal="center"/>
    </xf>
    <xf numFmtId="0" fontId="98" fillId="0" borderId="0" xfId="0" applyFont="1"/>
    <xf numFmtId="0" fontId="71" fillId="0" borderId="4" xfId="0" applyFont="1" applyBorder="1" applyAlignment="1">
      <alignment horizontal="center"/>
    </xf>
    <xf numFmtId="0" fontId="101" fillId="5" borderId="4" xfId="0" applyFont="1" applyFill="1" applyBorder="1" applyAlignment="1">
      <alignment horizontal="center"/>
    </xf>
    <xf numFmtId="0" fontId="46" fillId="0" borderId="4" xfId="0" applyFont="1" applyBorder="1"/>
    <xf numFmtId="0" fontId="46" fillId="0" borderId="4" xfId="0" applyFont="1" applyBorder="1" applyAlignment="1">
      <alignment horizontal="center"/>
    </xf>
    <xf numFmtId="0" fontId="0" fillId="0" borderId="4" xfId="0" applyBorder="1" applyAlignment="1">
      <alignment horizontal="center"/>
    </xf>
    <xf numFmtId="0" fontId="3" fillId="0" borderId="60" xfId="0" applyFont="1" applyBorder="1" applyAlignment="1">
      <alignment horizontal="center"/>
    </xf>
    <xf numFmtId="0" fontId="100" fillId="0" borderId="4" xfId="0" applyFont="1" applyBorder="1" applyAlignment="1">
      <alignment horizontal="center"/>
    </xf>
    <xf numFmtId="9" fontId="82" fillId="0" borderId="4" xfId="2" applyFont="1" applyBorder="1"/>
    <xf numFmtId="0" fontId="1" fillId="0" borderId="0" xfId="0" applyFont="1" applyAlignment="1">
      <alignment horizontal="left" indent="4"/>
    </xf>
    <xf numFmtId="0" fontId="97" fillId="0" borderId="4" xfId="0" applyFont="1" applyBorder="1"/>
    <xf numFmtId="3" fontId="6" fillId="0" borderId="4" xfId="0" applyNumberFormat="1" applyFont="1" applyBorder="1" applyAlignment="1">
      <alignment horizontal="right"/>
    </xf>
    <xf numFmtId="180" fontId="6" fillId="0" borderId="4" xfId="0" applyNumberFormat="1" applyFont="1" applyBorder="1"/>
    <xf numFmtId="0" fontId="20" fillId="5" borderId="23" xfId="0" applyFont="1" applyFill="1" applyBorder="1" applyAlignment="1">
      <alignment horizontal="center" wrapText="1"/>
    </xf>
    <xf numFmtId="0" fontId="0" fillId="5" borderId="0" xfId="0" applyFill="1"/>
    <xf numFmtId="178" fontId="0" fillId="5" borderId="0" xfId="0" applyNumberFormat="1" applyFill="1"/>
    <xf numFmtId="164" fontId="0" fillId="5" borderId="0" xfId="2" applyNumberFormat="1" applyFont="1" applyFill="1"/>
    <xf numFmtId="2" fontId="0" fillId="5" borderId="0" xfId="0" applyNumberFormat="1" applyFill="1"/>
    <xf numFmtId="173" fontId="0" fillId="5" borderId="0" xfId="5" applyNumberFormat="1" applyFont="1" applyFill="1"/>
    <xf numFmtId="3" fontId="0" fillId="5" borderId="0" xfId="0" applyNumberFormat="1" applyFill="1"/>
    <xf numFmtId="178" fontId="0" fillId="5" borderId="0" xfId="2" applyNumberFormat="1" applyFont="1" applyFill="1"/>
    <xf numFmtId="0" fontId="0" fillId="5" borderId="0" xfId="0" applyFill="1" applyAlignment="1">
      <alignment wrapText="1"/>
    </xf>
    <xf numFmtId="0" fontId="0" fillId="5" borderId="0" xfId="0" applyFill="1" applyAlignment="1">
      <alignment horizontal="center" wrapText="1"/>
    </xf>
    <xf numFmtId="43" fontId="0" fillId="5" borderId="0" xfId="5" applyFont="1" applyFill="1"/>
    <xf numFmtId="173" fontId="0" fillId="5" borderId="0" xfId="0" applyNumberFormat="1" applyFill="1"/>
    <xf numFmtId="44" fontId="0" fillId="5" borderId="0" xfId="1" applyFont="1" applyFill="1"/>
    <xf numFmtId="170" fontId="0" fillId="5" borderId="0" xfId="0" applyNumberFormat="1" applyFill="1"/>
    <xf numFmtId="3" fontId="0" fillId="5" borderId="0" xfId="5" applyNumberFormat="1" applyFont="1" applyFill="1"/>
    <xf numFmtId="1" fontId="0" fillId="5" borderId="0" xfId="0" applyNumberFormat="1" applyFill="1"/>
    <xf numFmtId="170" fontId="0" fillId="5" borderId="0" xfId="5" applyNumberFormat="1" applyFont="1" applyFill="1"/>
    <xf numFmtId="168" fontId="0" fillId="5" borderId="0" xfId="0" applyNumberFormat="1" applyFill="1"/>
    <xf numFmtId="168" fontId="0" fillId="5" borderId="0" xfId="5" applyNumberFormat="1" applyFont="1" applyFill="1"/>
    <xf numFmtId="0" fontId="0" fillId="16" borderId="0" xfId="0" applyFill="1"/>
    <xf numFmtId="180" fontId="0" fillId="16" borderId="0" xfId="0" applyNumberFormat="1" applyFill="1"/>
    <xf numFmtId="178" fontId="0" fillId="16" borderId="0" xfId="0" applyNumberFormat="1" applyFill="1"/>
    <xf numFmtId="164" fontId="0" fillId="16" borderId="0" xfId="2" applyNumberFormat="1" applyFont="1" applyFill="1"/>
    <xf numFmtId="3" fontId="0" fillId="16" borderId="0" xfId="0" applyNumberFormat="1" applyFill="1"/>
    <xf numFmtId="2" fontId="0" fillId="16" borderId="0" xfId="0" applyNumberFormat="1" applyFill="1"/>
    <xf numFmtId="1" fontId="0" fillId="16" borderId="0" xfId="0" applyNumberFormat="1" applyFill="1"/>
    <xf numFmtId="168" fontId="0" fillId="16" borderId="0" xfId="0" applyNumberFormat="1" applyFill="1"/>
    <xf numFmtId="0" fontId="0" fillId="16" borderId="0" xfId="0" applyFill="1" applyAlignment="1">
      <alignment wrapText="1"/>
    </xf>
    <xf numFmtId="9" fontId="0" fillId="16" borderId="0" xfId="2" applyFont="1" applyFill="1"/>
    <xf numFmtId="170" fontId="0" fillId="16" borderId="0" xfId="0" applyNumberFormat="1" applyFill="1"/>
    <xf numFmtId="173" fontId="0" fillId="16" borderId="0" xfId="0" applyNumberFormat="1" applyFill="1"/>
    <xf numFmtId="173" fontId="0" fillId="16" borderId="0" xfId="5" applyNumberFormat="1" applyFont="1" applyFill="1"/>
    <xf numFmtId="170" fontId="0" fillId="16" borderId="0" xfId="5" applyNumberFormat="1" applyFont="1" applyFill="1"/>
    <xf numFmtId="168" fontId="0" fillId="16" borderId="0" xfId="5" applyNumberFormat="1" applyFont="1" applyFill="1"/>
    <xf numFmtId="0" fontId="0" fillId="17" borderId="0" xfId="0" applyFill="1"/>
    <xf numFmtId="9" fontId="0" fillId="17" borderId="0" xfId="2" applyFont="1" applyFill="1"/>
    <xf numFmtId="178" fontId="0" fillId="17" borderId="0" xfId="0" applyNumberFormat="1" applyFill="1"/>
    <xf numFmtId="180" fontId="0" fillId="17" borderId="0" xfId="0" applyNumberFormat="1" applyFill="1"/>
    <xf numFmtId="164" fontId="0" fillId="17" borderId="0" xfId="2" applyNumberFormat="1" applyFont="1" applyFill="1"/>
    <xf numFmtId="2" fontId="0" fillId="17" borderId="0" xfId="0" applyNumberFormat="1" applyFill="1"/>
    <xf numFmtId="3" fontId="0" fillId="17" borderId="0" xfId="0" applyNumberFormat="1" applyFill="1"/>
    <xf numFmtId="178" fontId="0" fillId="17" borderId="0" xfId="2" applyNumberFormat="1" applyFont="1" applyFill="1"/>
    <xf numFmtId="1" fontId="0" fillId="17" borderId="0" xfId="0" applyNumberFormat="1" applyFill="1"/>
    <xf numFmtId="168" fontId="0" fillId="17" borderId="0" xfId="0" applyNumberFormat="1" applyFill="1"/>
    <xf numFmtId="0" fontId="0" fillId="17" borderId="0" xfId="0" applyFill="1" applyAlignment="1">
      <alignment wrapText="1"/>
    </xf>
    <xf numFmtId="181" fontId="0" fillId="17" borderId="0" xfId="2" applyNumberFormat="1" applyFont="1" applyFill="1"/>
    <xf numFmtId="43" fontId="0" fillId="17" borderId="0" xfId="5" applyFont="1" applyFill="1"/>
    <xf numFmtId="173" fontId="0" fillId="17" borderId="0" xfId="0" applyNumberFormat="1" applyFill="1"/>
    <xf numFmtId="170" fontId="0" fillId="17" borderId="0" xfId="0" applyNumberFormat="1" applyFill="1"/>
    <xf numFmtId="173" fontId="0" fillId="17" borderId="0" xfId="5" applyNumberFormat="1" applyFont="1" applyFill="1"/>
    <xf numFmtId="170" fontId="0" fillId="17" borderId="0" xfId="5" applyNumberFormat="1" applyFont="1" applyFill="1"/>
    <xf numFmtId="168" fontId="0" fillId="17" borderId="0" xfId="5" applyNumberFormat="1" applyFont="1" applyFill="1"/>
    <xf numFmtId="4" fontId="6" fillId="0" borderId="4" xfId="0" applyNumberFormat="1" applyFont="1" applyBorder="1"/>
    <xf numFmtId="0" fontId="102" fillId="18" borderId="0" xfId="0" applyFont="1" applyFill="1"/>
    <xf numFmtId="3" fontId="102" fillId="18" borderId="0" xfId="0" applyNumberFormat="1" applyFont="1" applyFill="1"/>
    <xf numFmtId="0" fontId="103" fillId="18" borderId="0" xfId="0" applyFont="1" applyFill="1"/>
    <xf numFmtId="3" fontId="103" fillId="18" borderId="0" xfId="0" applyNumberFormat="1" applyFont="1" applyFill="1"/>
    <xf numFmtId="2" fontId="103" fillId="18" borderId="0" xfId="0" applyNumberFormat="1" applyFont="1" applyFill="1"/>
    <xf numFmtId="173" fontId="102" fillId="18" borderId="0" xfId="0" applyNumberFormat="1" applyFont="1" applyFill="1"/>
    <xf numFmtId="180" fontId="102" fillId="18" borderId="0" xfId="2" applyNumberFormat="1" applyFont="1" applyFill="1"/>
    <xf numFmtId="9" fontId="102" fillId="18" borderId="0" xfId="2" applyFont="1" applyFill="1"/>
    <xf numFmtId="0" fontId="103" fillId="0" borderId="0" xfId="0" applyFont="1"/>
    <xf numFmtId="0" fontId="85" fillId="0" borderId="0" xfId="0" applyFont="1"/>
    <xf numFmtId="0" fontId="0" fillId="12" borderId="4" xfId="0" applyFill="1" applyBorder="1" applyAlignment="1" applyProtection="1">
      <alignment wrapText="1"/>
      <protection locked="0"/>
    </xf>
    <xf numFmtId="0" fontId="48" fillId="7" borderId="4" xfId="0" applyFont="1" applyFill="1" applyBorder="1" applyAlignment="1" applyProtection="1">
      <alignment horizontal="center"/>
      <protection locked="0"/>
    </xf>
    <xf numFmtId="164" fontId="45" fillId="0" borderId="6" xfId="2" applyNumberFormat="1" applyFont="1" applyFill="1" applyBorder="1" applyAlignment="1" applyProtection="1">
      <alignment horizontal="center" vertical="center" wrapText="1"/>
      <protection locked="0"/>
    </xf>
    <xf numFmtId="164" fontId="62" fillId="0" borderId="11" xfId="2" applyNumberFormat="1" applyFont="1" applyFill="1" applyBorder="1" applyAlignment="1" applyProtection="1">
      <alignment horizontal="center"/>
      <protection locked="0"/>
    </xf>
    <xf numFmtId="0" fontId="42" fillId="0" borderId="0" xfId="0" applyFont="1" applyAlignment="1" applyProtection="1">
      <alignment wrapText="1"/>
      <protection locked="0"/>
    </xf>
    <xf numFmtId="0" fontId="48" fillId="0" borderId="9" xfId="0" applyFont="1" applyBorder="1" applyAlignment="1" applyProtection="1">
      <alignment horizontal="center"/>
      <protection locked="0"/>
    </xf>
    <xf numFmtId="164" fontId="42" fillId="0" borderId="21" xfId="2" applyNumberFormat="1" applyFont="1" applyBorder="1" applyAlignment="1" applyProtection="1">
      <alignment horizontal="center"/>
      <protection locked="0"/>
    </xf>
    <xf numFmtId="0" fontId="42" fillId="0" borderId="21" xfId="0" applyFont="1" applyBorder="1" applyAlignment="1" applyProtection="1">
      <alignment horizontal="center"/>
      <protection locked="0"/>
    </xf>
    <xf numFmtId="168" fontId="42" fillId="0" borderId="21" xfId="0" applyNumberFormat="1" applyFont="1" applyBorder="1" applyAlignment="1" applyProtection="1">
      <alignment horizontal="center"/>
      <protection locked="0"/>
    </xf>
    <xf numFmtId="9" fontId="42" fillId="0" borderId="21" xfId="0" applyNumberFormat="1" applyFont="1" applyBorder="1" applyAlignment="1" applyProtection="1">
      <alignment horizontal="center"/>
      <protection locked="0"/>
    </xf>
    <xf numFmtId="0" fontId="42" fillId="0" borderId="5" xfId="0" applyFont="1" applyBorder="1" applyAlignment="1" applyProtection="1">
      <alignment horizontal="center"/>
      <protection locked="0"/>
    </xf>
    <xf numFmtId="0" fontId="42" fillId="0" borderId="4" xfId="0" applyFont="1" applyBorder="1" applyProtection="1">
      <protection locked="0"/>
    </xf>
    <xf numFmtId="0" fontId="41" fillId="0" borderId="0" xfId="0" applyFont="1"/>
    <xf numFmtId="0" fontId="41" fillId="5" borderId="19" xfId="0" applyFont="1" applyFill="1" applyBorder="1"/>
    <xf numFmtId="6" fontId="6" fillId="0" borderId="0" xfId="0" applyNumberFormat="1" applyFont="1" applyAlignment="1">
      <alignment horizontal="center"/>
    </xf>
    <xf numFmtId="164" fontId="1" fillId="0" borderId="0" xfId="2" applyNumberFormat="1" applyFont="1" applyFill="1" applyBorder="1"/>
    <xf numFmtId="0" fontId="71" fillId="0" borderId="0" xfId="0" applyFont="1" applyAlignment="1">
      <alignment horizontal="center"/>
    </xf>
    <xf numFmtId="164" fontId="82" fillId="0" borderId="0" xfId="2" applyNumberFormat="1" applyFont="1" applyFill="1" applyBorder="1"/>
    <xf numFmtId="164" fontId="1" fillId="0" borderId="0" xfId="2" applyNumberFormat="1" applyFont="1" applyFill="1" applyBorder="1" applyProtection="1">
      <protection locked="0"/>
    </xf>
    <xf numFmtId="9" fontId="23" fillId="6" borderId="50" xfId="2" applyFont="1" applyFill="1" applyBorder="1" applyAlignment="1" applyProtection="1">
      <alignment horizontal="center"/>
      <protection locked="0"/>
    </xf>
    <xf numFmtId="3" fontId="1" fillId="0" borderId="18" xfId="0" applyNumberFormat="1" applyFont="1" applyBorder="1"/>
    <xf numFmtId="170" fontId="23" fillId="12" borderId="4" xfId="2" applyNumberFormat="1" applyFont="1" applyFill="1" applyBorder="1" applyProtection="1">
      <protection locked="0"/>
    </xf>
    <xf numFmtId="0" fontId="0" fillId="16" borderId="0" xfId="0" quotePrefix="1" applyFill="1"/>
    <xf numFmtId="0" fontId="0" fillId="17" borderId="0" xfId="0" quotePrefix="1" applyFill="1"/>
    <xf numFmtId="9" fontId="23" fillId="12" borderId="4" xfId="2" applyFont="1" applyFill="1" applyBorder="1" applyProtection="1">
      <protection locked="0"/>
    </xf>
    <xf numFmtId="4" fontId="0" fillId="0" borderId="4" xfId="0" applyNumberFormat="1" applyBorder="1" applyAlignment="1">
      <alignment horizontal="right" indent="2"/>
    </xf>
    <xf numFmtId="0" fontId="6" fillId="0" borderId="60" xfId="0" applyFont="1" applyBorder="1"/>
    <xf numFmtId="170" fontId="42" fillId="0" borderId="21" xfId="0" applyNumberFormat="1" applyFont="1" applyBorder="1" applyAlignment="1" applyProtection="1">
      <alignment horizontal="center"/>
      <protection locked="0"/>
    </xf>
    <xf numFmtId="40" fontId="42" fillId="0" borderId="21" xfId="0" applyNumberFormat="1" applyFont="1" applyBorder="1" applyAlignment="1" applyProtection="1">
      <alignment horizontal="center"/>
      <protection locked="0"/>
    </xf>
    <xf numFmtId="10" fontId="42" fillId="0" borderId="21" xfId="0" applyNumberFormat="1" applyFont="1" applyBorder="1" applyAlignment="1" applyProtection="1">
      <alignment horizontal="center"/>
      <protection locked="0"/>
    </xf>
    <xf numFmtId="9" fontId="0" fillId="5" borderId="0" xfId="2" applyFont="1" applyFill="1"/>
    <xf numFmtId="9" fontId="27" fillId="0" borderId="4" xfId="2" applyFont="1" applyFill="1" applyBorder="1" applyProtection="1"/>
    <xf numFmtId="0" fontId="62" fillId="7" borderId="7" xfId="0" applyFont="1" applyFill="1" applyBorder="1" applyAlignment="1" applyProtection="1">
      <alignment horizontal="center"/>
      <protection locked="0"/>
    </xf>
    <xf numFmtId="164" fontId="70" fillId="3" borderId="6" xfId="2" applyNumberFormat="1" applyFont="1" applyFill="1" applyBorder="1" applyAlignment="1" applyProtection="1">
      <alignment horizontal="center" vertical="center" wrapText="1"/>
      <protection locked="0"/>
    </xf>
    <xf numFmtId="164" fontId="62" fillId="0" borderId="14" xfId="2" applyNumberFormat="1" applyFont="1" applyFill="1" applyBorder="1" applyAlignment="1" applyProtection="1">
      <alignment horizontal="center"/>
      <protection locked="0"/>
    </xf>
    <xf numFmtId="0" fontId="44" fillId="0" borderId="9" xfId="0" applyFont="1" applyBorder="1" applyAlignment="1" applyProtection="1">
      <alignment horizontal="center"/>
      <protection locked="0"/>
    </xf>
    <xf numFmtId="3" fontId="48" fillId="0" borderId="21" xfId="0" applyNumberFormat="1" applyFont="1" applyBorder="1" applyAlignment="1" applyProtection="1">
      <alignment horizontal="center"/>
      <protection locked="0"/>
    </xf>
    <xf numFmtId="0" fontId="99" fillId="0" borderId="0" xfId="0" applyFont="1" applyAlignment="1">
      <alignment horizontal="center"/>
    </xf>
    <xf numFmtId="10" fontId="76" fillId="0" borderId="4" xfId="2" applyNumberFormat="1" applyFont="1" applyBorder="1" applyProtection="1">
      <protection locked="0"/>
    </xf>
    <xf numFmtId="168" fontId="76" fillId="0" borderId="4" xfId="0" applyNumberFormat="1" applyFont="1" applyBorder="1" applyProtection="1">
      <protection locked="0"/>
    </xf>
    <xf numFmtId="0" fontId="80" fillId="0" borderId="0" xfId="0" applyFont="1"/>
    <xf numFmtId="170" fontId="23" fillId="0" borderId="4" xfId="2" applyNumberFormat="1" applyFont="1" applyFill="1" applyBorder="1" applyProtection="1"/>
    <xf numFmtId="1" fontId="23" fillId="0" borderId="4" xfId="2" applyNumberFormat="1" applyFont="1" applyFill="1" applyBorder="1" applyProtection="1"/>
    <xf numFmtId="2" fontId="23" fillId="12" borderId="4" xfId="5" applyNumberFormat="1" applyFont="1" applyFill="1" applyBorder="1" applyProtection="1">
      <protection locked="0"/>
    </xf>
    <xf numFmtId="44" fontId="0" fillId="12" borderId="4" xfId="1" applyFont="1" applyFill="1" applyBorder="1" applyAlignment="1" applyProtection="1">
      <alignment horizontal="right" indent="2"/>
      <protection locked="0"/>
    </xf>
    <xf numFmtId="1" fontId="0" fillId="12" borderId="4" xfId="0" applyNumberFormat="1" applyFill="1" applyBorder="1" applyAlignment="1" applyProtection="1">
      <alignment horizontal="right" indent="2"/>
      <protection locked="0"/>
    </xf>
    <xf numFmtId="9" fontId="0" fillId="12" borderId="4" xfId="2" applyFont="1" applyFill="1" applyBorder="1" applyAlignment="1" applyProtection="1">
      <alignment horizontal="right" indent="2"/>
      <protection locked="0"/>
    </xf>
    <xf numFmtId="6" fontId="27" fillId="0" borderId="32" xfId="0" applyNumberFormat="1" applyFont="1" applyBorder="1" applyAlignment="1">
      <alignment horizontal="right"/>
    </xf>
    <xf numFmtId="3" fontId="0" fillId="16" borderId="0" xfId="5" applyNumberFormat="1" applyFont="1" applyFill="1"/>
    <xf numFmtId="0" fontId="14" fillId="0" borderId="14" xfId="0" applyFont="1" applyBorder="1" applyAlignment="1">
      <alignment horizontal="center"/>
    </xf>
    <xf numFmtId="0" fontId="3" fillId="5" borderId="4" xfId="0" applyFont="1" applyFill="1" applyBorder="1"/>
    <xf numFmtId="0" fontId="20" fillId="5" borderId="4" xfId="0" applyFont="1" applyFill="1" applyBorder="1" applyAlignment="1">
      <alignment horizontal="center"/>
    </xf>
    <xf numFmtId="183" fontId="0" fillId="17" borderId="0" xfId="0" applyNumberFormat="1" applyFill="1"/>
    <xf numFmtId="4" fontId="0" fillId="16" borderId="0" xfId="2" applyNumberFormat="1" applyFont="1" applyFill="1"/>
    <xf numFmtId="2" fontId="0" fillId="13" borderId="0" xfId="0" applyNumberFormat="1" applyFill="1"/>
    <xf numFmtId="176" fontId="0" fillId="13" borderId="0" xfId="0" applyNumberFormat="1" applyFill="1"/>
    <xf numFmtId="1" fontId="0" fillId="13" borderId="0" xfId="0" applyNumberFormat="1" applyFill="1"/>
    <xf numFmtId="3" fontId="0" fillId="13" borderId="0" xfId="0" applyNumberFormat="1" applyFill="1"/>
    <xf numFmtId="182" fontId="0" fillId="13" borderId="0" xfId="0" applyNumberFormat="1" applyFill="1"/>
    <xf numFmtId="4" fontId="0" fillId="13" borderId="0" xfId="0" applyNumberFormat="1" applyFill="1"/>
    <xf numFmtId="164" fontId="0" fillId="13" borderId="0" xfId="2" applyNumberFormat="1" applyFont="1" applyFill="1"/>
    <xf numFmtId="181" fontId="0" fillId="13" borderId="0" xfId="2" applyNumberFormat="1" applyFont="1" applyFill="1"/>
    <xf numFmtId="2" fontId="0" fillId="13" borderId="0" xfId="2" applyNumberFormat="1" applyFont="1" applyFill="1"/>
    <xf numFmtId="176" fontId="0" fillId="13" borderId="0" xfId="2" applyNumberFormat="1" applyFont="1" applyFill="1"/>
    <xf numFmtId="9" fontId="0" fillId="13" borderId="0" xfId="0" applyNumberFormat="1" applyFill="1"/>
    <xf numFmtId="44" fontId="0" fillId="13" borderId="0" xfId="0" applyNumberFormat="1" applyFill="1"/>
    <xf numFmtId="0" fontId="0" fillId="13" borderId="0" xfId="0" quotePrefix="1" applyFill="1"/>
    <xf numFmtId="0" fontId="0" fillId="13" borderId="0" xfId="0" applyFill="1" applyAlignment="1">
      <alignment horizontal="center" wrapText="1"/>
    </xf>
    <xf numFmtId="168" fontId="0" fillId="13" borderId="0" xfId="0" applyNumberFormat="1" applyFill="1"/>
    <xf numFmtId="0" fontId="78" fillId="13" borderId="0" xfId="0" applyFont="1" applyFill="1"/>
    <xf numFmtId="0" fontId="0" fillId="13" borderId="0" xfId="0" applyFill="1" applyAlignment="1">
      <alignment horizontal="center"/>
    </xf>
    <xf numFmtId="168" fontId="78" fillId="13" borderId="0" xfId="0" applyNumberFormat="1" applyFont="1" applyFill="1"/>
    <xf numFmtId="168" fontId="107" fillId="13" borderId="0" xfId="0" applyNumberFormat="1" applyFont="1" applyFill="1"/>
    <xf numFmtId="0" fontId="107" fillId="13" borderId="0" xfId="0" applyFont="1" applyFill="1"/>
    <xf numFmtId="0" fontId="78" fillId="5" borderId="0" xfId="0" applyFont="1" applyFill="1"/>
    <xf numFmtId="168" fontId="78" fillId="5" borderId="0" xfId="0" applyNumberFormat="1" applyFont="1" applyFill="1"/>
    <xf numFmtId="0" fontId="78" fillId="16" borderId="0" xfId="0" applyFont="1" applyFill="1"/>
    <xf numFmtId="0" fontId="0" fillId="16" borderId="0" xfId="0" applyFill="1" applyAlignment="1">
      <alignment horizontal="center" wrapText="1"/>
    </xf>
    <xf numFmtId="168" fontId="78" fillId="16" borderId="0" xfId="0" applyNumberFormat="1" applyFont="1" applyFill="1"/>
    <xf numFmtId="0" fontId="78" fillId="20" borderId="0" xfId="0" applyFont="1" applyFill="1"/>
    <xf numFmtId="0" fontId="0" fillId="20" borderId="0" xfId="0" applyFill="1"/>
    <xf numFmtId="3" fontId="0" fillId="20" borderId="0" xfId="0" applyNumberFormat="1" applyFill="1"/>
    <xf numFmtId="0" fontId="0" fillId="20" borderId="0" xfId="0" applyFill="1" applyAlignment="1">
      <alignment horizontal="center" wrapText="1"/>
    </xf>
    <xf numFmtId="1" fontId="0" fillId="20" borderId="0" xfId="0" applyNumberFormat="1" applyFill="1"/>
    <xf numFmtId="168" fontId="0" fillId="20" borderId="0" xfId="0" applyNumberFormat="1" applyFill="1"/>
    <xf numFmtId="168" fontId="78" fillId="20" borderId="0" xfId="0" applyNumberFormat="1" applyFont="1" applyFill="1"/>
    <xf numFmtId="0" fontId="0" fillId="11" borderId="0" xfId="0" applyFill="1"/>
    <xf numFmtId="3" fontId="0" fillId="21" borderId="0" xfId="5" applyNumberFormat="1" applyFont="1" applyFill="1"/>
    <xf numFmtId="44" fontId="0" fillId="21" borderId="0" xfId="1" applyFont="1" applyFill="1"/>
    <xf numFmtId="0" fontId="0" fillId="21" borderId="0" xfId="0" applyFill="1"/>
    <xf numFmtId="3" fontId="0" fillId="17" borderId="0" xfId="0" applyNumberFormat="1" applyFill="1" applyAlignment="1">
      <alignment horizontal="right"/>
    </xf>
    <xf numFmtId="0" fontId="0" fillId="17" borderId="0" xfId="0" applyFill="1" applyAlignment="1">
      <alignment horizontal="right"/>
    </xf>
    <xf numFmtId="0" fontId="42" fillId="0" borderId="5" xfId="0" applyFont="1" applyBorder="1"/>
    <xf numFmtId="170" fontId="42" fillId="0" borderId="0" xfId="0" applyNumberFormat="1" applyFont="1" applyProtection="1">
      <protection locked="0"/>
    </xf>
    <xf numFmtId="2" fontId="27" fillId="0" borderId="4" xfId="2" applyNumberFormat="1" applyFont="1" applyFill="1" applyBorder="1" applyProtection="1"/>
    <xf numFmtId="9" fontId="0" fillId="16" borderId="0" xfId="2" applyFont="1" applyFill="1" applyAlignment="1">
      <alignment wrapText="1"/>
    </xf>
    <xf numFmtId="0" fontId="108" fillId="0" borderId="0" xfId="0" applyFont="1" applyAlignment="1">
      <alignment horizontal="center"/>
    </xf>
    <xf numFmtId="0" fontId="108" fillId="0" borderId="0" xfId="0" applyFont="1"/>
    <xf numFmtId="9" fontId="80" fillId="0" borderId="0" xfId="2" applyFont="1"/>
    <xf numFmtId="0" fontId="50" fillId="12" borderId="4" xfId="0" applyFont="1" applyFill="1" applyBorder="1" applyAlignment="1" applyProtection="1">
      <alignment wrapText="1"/>
      <protection locked="0"/>
    </xf>
    <xf numFmtId="168" fontId="50" fillId="12" borderId="4" xfId="0" applyNumberFormat="1" applyFont="1" applyFill="1" applyBorder="1" applyProtection="1">
      <protection locked="0"/>
    </xf>
    <xf numFmtId="1" fontId="50" fillId="12" borderId="4" xfId="0" applyNumberFormat="1" applyFont="1" applyFill="1" applyBorder="1" applyProtection="1">
      <protection locked="0"/>
    </xf>
    <xf numFmtId="164" fontId="50" fillId="12" borderId="4" xfId="2" applyNumberFormat="1" applyFont="1" applyFill="1" applyBorder="1" applyProtection="1">
      <protection locked="0"/>
    </xf>
    <xf numFmtId="9" fontId="50" fillId="12" borderId="4" xfId="2" applyFont="1" applyFill="1" applyBorder="1" applyProtection="1">
      <protection locked="0"/>
    </xf>
    <xf numFmtId="2" fontId="50" fillId="12" borderId="4" xfId="0" applyNumberFormat="1" applyFont="1" applyFill="1" applyBorder="1" applyProtection="1">
      <protection locked="0"/>
    </xf>
    <xf numFmtId="170" fontId="50" fillId="12" borderId="4" xfId="0" applyNumberFormat="1" applyFont="1" applyFill="1" applyBorder="1" applyProtection="1">
      <protection locked="0"/>
    </xf>
    <xf numFmtId="3" fontId="27" fillId="0" borderId="0" xfId="0" applyNumberFormat="1" applyFont="1"/>
    <xf numFmtId="3" fontId="27" fillId="0" borderId="4" xfId="0" applyNumberFormat="1" applyFont="1" applyBorder="1"/>
    <xf numFmtId="0" fontId="71" fillId="0" borderId="14" xfId="0" applyFont="1" applyBorder="1" applyAlignment="1">
      <alignment horizontal="center"/>
    </xf>
    <xf numFmtId="166" fontId="10" fillId="0" borderId="0" xfId="0" applyNumberFormat="1" applyFont="1" applyAlignment="1">
      <alignment horizontal="center"/>
    </xf>
    <xf numFmtId="0" fontId="3" fillId="0" borderId="21" xfId="0" applyFont="1" applyBorder="1" applyAlignment="1">
      <alignment horizontal="center"/>
    </xf>
    <xf numFmtId="0" fontId="42" fillId="0" borderId="21" xfId="0" applyFont="1" applyBorder="1"/>
    <xf numFmtId="0" fontId="6" fillId="0" borderId="21" xfId="0" applyFont="1" applyBorder="1"/>
    <xf numFmtId="0" fontId="27" fillId="0" borderId="21" xfId="0" applyFont="1" applyBorder="1"/>
    <xf numFmtId="0" fontId="101" fillId="0" borderId="0" xfId="0" applyFont="1" applyAlignment="1">
      <alignment horizontal="center"/>
    </xf>
    <xf numFmtId="0" fontId="109" fillId="0" borderId="0" xfId="0" applyFont="1" applyAlignment="1">
      <alignment horizontal="center"/>
    </xf>
    <xf numFmtId="0" fontId="45" fillId="5" borderId="10" xfId="0" applyFont="1" applyFill="1" applyBorder="1" applyAlignment="1">
      <alignment vertical="center"/>
    </xf>
    <xf numFmtId="0" fontId="46" fillId="0" borderId="0" xfId="0" applyFont="1" applyAlignment="1">
      <alignment horizontal="center" wrapText="1"/>
    </xf>
    <xf numFmtId="9" fontId="1" fillId="0" borderId="4" xfId="0" applyNumberFormat="1" applyFont="1" applyBorder="1"/>
    <xf numFmtId="1" fontId="1" fillId="0" borderId="0" xfId="0" applyNumberFormat="1" applyFont="1"/>
    <xf numFmtId="1" fontId="27" fillId="0" borderId="0" xfId="0" applyNumberFormat="1" applyFont="1"/>
    <xf numFmtId="176" fontId="27" fillId="0" borderId="0" xfId="0" applyNumberFormat="1" applyFont="1"/>
    <xf numFmtId="0" fontId="110" fillId="0" borderId="0" xfId="0" applyFont="1"/>
    <xf numFmtId="0" fontId="6" fillId="0" borderId="6" xfId="0" applyFont="1" applyBorder="1"/>
    <xf numFmtId="3" fontId="6" fillId="0" borderId="6" xfId="0" applyNumberFormat="1" applyFont="1" applyBorder="1" applyAlignment="1">
      <alignment horizontal="right"/>
    </xf>
    <xf numFmtId="3" fontId="6" fillId="0" borderId="6" xfId="0" applyNumberFormat="1" applyFont="1" applyBorder="1"/>
    <xf numFmtId="3" fontId="27" fillId="0" borderId="4" xfId="2" applyNumberFormat="1" applyFont="1" applyFill="1" applyBorder="1" applyProtection="1">
      <protection locked="0"/>
    </xf>
    <xf numFmtId="0" fontId="0" fillId="0" borderId="4" xfId="0" applyBorder="1" applyAlignment="1">
      <alignment horizontal="left"/>
    </xf>
    <xf numFmtId="0" fontId="102" fillId="0" borderId="0" xfId="0" applyFont="1"/>
    <xf numFmtId="173" fontId="102" fillId="0" borderId="0" xfId="0" applyNumberFormat="1" applyFont="1"/>
    <xf numFmtId="3" fontId="102" fillId="0" borderId="0" xfId="0" applyNumberFormat="1" applyFont="1"/>
    <xf numFmtId="9" fontId="102" fillId="0" borderId="0" xfId="2" applyFont="1" applyFill="1"/>
    <xf numFmtId="180" fontId="102" fillId="0" borderId="0" xfId="2" applyNumberFormat="1" applyFont="1" applyFill="1"/>
    <xf numFmtId="3" fontId="0" fillId="5" borderId="0" xfId="2" applyNumberFormat="1" applyFont="1" applyFill="1"/>
    <xf numFmtId="3" fontId="0" fillId="12" borderId="0" xfId="5" applyNumberFormat="1" applyFont="1" applyFill="1" applyProtection="1">
      <protection locked="0"/>
    </xf>
    <xf numFmtId="3" fontId="0" fillId="17" borderId="0" xfId="5" applyNumberFormat="1" applyFont="1" applyFill="1"/>
    <xf numFmtId="0" fontId="0" fillId="16" borderId="0" xfId="0" applyFill="1" applyAlignment="1">
      <alignment horizontal="right"/>
    </xf>
    <xf numFmtId="0" fontId="102" fillId="17" borderId="0" xfId="0" applyFont="1" applyFill="1"/>
    <xf numFmtId="173" fontId="0" fillId="21" borderId="0" xfId="5" applyNumberFormat="1" applyFont="1" applyFill="1"/>
    <xf numFmtId="168" fontId="0" fillId="16" borderId="0" xfId="0" applyNumberFormat="1" applyFill="1" applyAlignment="1">
      <alignment horizontal="left"/>
    </xf>
    <xf numFmtId="0" fontId="0" fillId="14" borderId="0" xfId="0" applyFill="1"/>
    <xf numFmtId="0" fontId="0" fillId="14" borderId="0" xfId="0" applyFill="1" applyAlignment="1">
      <alignment wrapText="1"/>
    </xf>
    <xf numFmtId="3" fontId="0" fillId="14" borderId="0" xfId="0" applyNumberFormat="1" applyFill="1"/>
    <xf numFmtId="10" fontId="0" fillId="14" borderId="0" xfId="2" applyNumberFormat="1" applyFont="1" applyFill="1"/>
    <xf numFmtId="9" fontId="0" fillId="14" borderId="0" xfId="2" applyFont="1" applyFill="1"/>
    <xf numFmtId="3" fontId="0" fillId="14" borderId="0" xfId="5" applyNumberFormat="1" applyFont="1" applyFill="1"/>
    <xf numFmtId="173" fontId="0" fillId="14" borderId="0" xfId="5" applyNumberFormat="1" applyFont="1" applyFill="1"/>
    <xf numFmtId="173" fontId="0" fillId="14" borderId="0" xfId="0" applyNumberFormat="1" applyFill="1" applyAlignment="1">
      <alignment horizontal="right"/>
    </xf>
    <xf numFmtId="180" fontId="0" fillId="14" borderId="0" xfId="0" applyNumberFormat="1" applyFill="1"/>
    <xf numFmtId="0" fontId="0" fillId="14" borderId="0" xfId="0" applyFill="1" applyAlignment="1">
      <alignment horizontal="right"/>
    </xf>
    <xf numFmtId="170" fontId="0" fillId="14" borderId="0" xfId="0" applyNumberFormat="1" applyFill="1"/>
    <xf numFmtId="168" fontId="0" fillId="14" borderId="0" xfId="5" applyNumberFormat="1" applyFont="1" applyFill="1"/>
    <xf numFmtId="0" fontId="0" fillId="14" borderId="0" xfId="0" quotePrefix="1" applyFill="1"/>
    <xf numFmtId="0" fontId="0" fillId="22" borderId="0" xfId="0" applyFill="1"/>
    <xf numFmtId="3" fontId="0" fillId="22" borderId="0" xfId="0" applyNumberFormat="1" applyFill="1"/>
    <xf numFmtId="4" fontId="0" fillId="22" borderId="0" xfId="0" applyNumberFormat="1" applyFill="1"/>
    <xf numFmtId="180" fontId="0" fillId="22" borderId="0" xfId="0" applyNumberFormat="1" applyFill="1"/>
    <xf numFmtId="0" fontId="0" fillId="22" borderId="0" xfId="0" applyFill="1" applyAlignment="1">
      <alignment horizontal="left"/>
    </xf>
    <xf numFmtId="168" fontId="1" fillId="0" borderId="4" xfId="0" applyNumberFormat="1" applyFont="1" applyBorder="1" applyProtection="1">
      <protection locked="0"/>
    </xf>
    <xf numFmtId="0" fontId="101" fillId="0" borderId="4" xfId="0" applyFont="1" applyBorder="1" applyAlignment="1">
      <alignment horizontal="center"/>
    </xf>
    <xf numFmtId="40" fontId="4" fillId="0" borderId="0" xfId="0" applyNumberFormat="1" applyFont="1" applyAlignment="1">
      <alignment horizontal="right"/>
    </xf>
    <xf numFmtId="0" fontId="1" fillId="13" borderId="0" xfId="0" applyFont="1" applyFill="1"/>
    <xf numFmtId="0" fontId="15" fillId="5" borderId="12" xfId="0" applyFont="1" applyFill="1" applyBorder="1" applyAlignment="1">
      <alignment horizontal="center"/>
    </xf>
    <xf numFmtId="0" fontId="0" fillId="13" borderId="19" xfId="0" applyFill="1" applyBorder="1"/>
    <xf numFmtId="0" fontId="1" fillId="13" borderId="11" xfId="0" applyFont="1" applyFill="1" applyBorder="1"/>
    <xf numFmtId="0" fontId="1" fillId="13" borderId="20" xfId="0" applyFont="1" applyFill="1" applyBorder="1"/>
    <xf numFmtId="0" fontId="0" fillId="13" borderId="17" xfId="0" applyFill="1" applyBorder="1"/>
    <xf numFmtId="0" fontId="1" fillId="13" borderId="18" xfId="0" applyFont="1" applyFill="1" applyBorder="1"/>
    <xf numFmtId="0" fontId="0" fillId="13" borderId="15" xfId="0" applyFill="1" applyBorder="1"/>
    <xf numFmtId="0" fontId="1" fillId="13" borderId="9" xfId="0" applyFont="1" applyFill="1" applyBorder="1"/>
    <xf numFmtId="0" fontId="1" fillId="13" borderId="16" xfId="0" applyFont="1" applyFill="1" applyBorder="1"/>
    <xf numFmtId="10" fontId="4" fillId="0" borderId="0" xfId="2" applyNumberFormat="1" applyFont="1" applyBorder="1" applyAlignment="1">
      <alignment horizontal="center"/>
    </xf>
    <xf numFmtId="0" fontId="14" fillId="0" borderId="6" xfId="0" applyFont="1" applyBorder="1" applyAlignment="1">
      <alignment horizontal="center"/>
    </xf>
    <xf numFmtId="2" fontId="0" fillId="16" borderId="0" xfId="0" applyNumberFormat="1" applyFill="1" applyAlignment="1">
      <alignment horizontal="center" wrapText="1"/>
    </xf>
    <xf numFmtId="0" fontId="46" fillId="0" borderId="6" xfId="0" applyFont="1" applyBorder="1"/>
    <xf numFmtId="170" fontId="23" fillId="12" borderId="5" xfId="2" applyNumberFormat="1" applyFont="1" applyFill="1" applyBorder="1" applyProtection="1">
      <protection locked="0"/>
    </xf>
    <xf numFmtId="3" fontId="111" fillId="0" borderId="13" xfId="0" applyNumberFormat="1" applyFont="1" applyBorder="1"/>
    <xf numFmtId="1" fontId="0" fillId="16" borderId="0" xfId="5" applyNumberFormat="1" applyFont="1" applyFill="1"/>
    <xf numFmtId="180" fontId="0" fillId="5" borderId="0" xfId="0" applyNumberFormat="1" applyFill="1"/>
    <xf numFmtId="3" fontId="111" fillId="5" borderId="4" xfId="0" applyNumberFormat="1" applyFont="1" applyFill="1" applyBorder="1" applyAlignment="1">
      <alignment horizontal="center"/>
    </xf>
    <xf numFmtId="0" fontId="0" fillId="17" borderId="0" xfId="0" applyFill="1" applyAlignment="1">
      <alignment horizontal="center" wrapText="1"/>
    </xf>
    <xf numFmtId="0" fontId="0" fillId="22" borderId="0" xfId="0" applyFill="1" applyAlignment="1">
      <alignment wrapText="1"/>
    </xf>
    <xf numFmtId="173" fontId="0" fillId="22" borderId="0" xfId="0" applyNumberFormat="1" applyFill="1"/>
    <xf numFmtId="168" fontId="0" fillId="22" borderId="0" xfId="0" applyNumberFormat="1" applyFill="1"/>
    <xf numFmtId="173" fontId="0" fillId="22" borderId="0" xfId="5" applyNumberFormat="1" applyFont="1" applyFill="1"/>
    <xf numFmtId="3" fontId="46" fillId="0" borderId="4" xfId="0" applyNumberFormat="1" applyFont="1" applyBorder="1" applyProtection="1">
      <protection locked="0"/>
    </xf>
    <xf numFmtId="3" fontId="23" fillId="12" borderId="4" xfId="0" applyNumberFormat="1" applyFont="1" applyFill="1" applyBorder="1" applyAlignment="1" applyProtection="1">
      <alignment horizontal="right"/>
      <protection locked="0"/>
    </xf>
    <xf numFmtId="0" fontId="61" fillId="13" borderId="4" xfId="0" applyFont="1" applyFill="1" applyBorder="1" applyAlignment="1">
      <alignment horizontal="center"/>
    </xf>
    <xf numFmtId="0" fontId="27" fillId="13" borderId="40" xfId="0" applyFont="1" applyFill="1" applyBorder="1" applyAlignment="1">
      <alignment horizontal="left"/>
    </xf>
    <xf numFmtId="168" fontId="6" fillId="0" borderId="30" xfId="0" applyNumberFormat="1" applyFont="1" applyBorder="1" applyAlignment="1">
      <alignment horizontal="left" indent="1"/>
    </xf>
    <xf numFmtId="3" fontId="27" fillId="0" borderId="4" xfId="0" applyNumberFormat="1" applyFont="1" applyBorder="1" applyAlignment="1">
      <alignment horizontal="right"/>
    </xf>
    <xf numFmtId="0" fontId="6" fillId="0" borderId="37" xfId="0" applyFont="1" applyBorder="1" applyAlignment="1">
      <alignment wrapText="1"/>
    </xf>
    <xf numFmtId="0" fontId="72" fillId="0" borderId="4" xfId="0" applyFont="1" applyBorder="1"/>
    <xf numFmtId="0" fontId="112" fillId="0" borderId="0" xfId="0" applyFont="1" applyAlignment="1">
      <alignment wrapText="1"/>
    </xf>
    <xf numFmtId="0" fontId="113" fillId="0" borderId="4" xfId="0" applyFont="1" applyBorder="1"/>
    <xf numFmtId="0" fontId="114" fillId="0" borderId="4" xfId="0" applyFont="1" applyBorder="1"/>
    <xf numFmtId="0" fontId="72" fillId="0" borderId="4" xfId="0" applyFont="1" applyBorder="1" applyAlignment="1">
      <alignment horizontal="left"/>
    </xf>
    <xf numFmtId="0" fontId="72" fillId="0" borderId="4" xfId="0" applyFont="1" applyBorder="1" applyAlignment="1">
      <alignment horizontal="center"/>
    </xf>
    <xf numFmtId="3" fontId="115" fillId="12" borderId="4" xfId="0" applyNumberFormat="1" applyFont="1" applyFill="1" applyBorder="1" applyProtection="1">
      <protection locked="0"/>
    </xf>
    <xf numFmtId="9" fontId="116" fillId="5" borderId="4" xfId="2" applyFont="1" applyFill="1" applyBorder="1" applyAlignment="1" applyProtection="1">
      <alignment horizontal="center"/>
      <protection locked="0"/>
    </xf>
    <xf numFmtId="0" fontId="72" fillId="0" borderId="4" xfId="0" quotePrefix="1" applyFont="1" applyBorder="1" applyAlignment="1">
      <alignment horizontal="center"/>
    </xf>
    <xf numFmtId="168" fontId="117" fillId="12" borderId="4" xfId="0" applyNumberFormat="1" applyFont="1" applyFill="1" applyBorder="1" applyAlignment="1" applyProtection="1">
      <alignment horizontal="right"/>
      <protection locked="0"/>
    </xf>
    <xf numFmtId="0" fontId="113" fillId="0" borderId="4" xfId="0" applyFont="1" applyBorder="1" applyAlignment="1">
      <alignment horizontal="center"/>
    </xf>
    <xf numFmtId="0" fontId="113" fillId="0" borderId="4" xfId="0" applyFont="1" applyBorder="1" applyAlignment="1">
      <alignment horizontal="center" wrapText="1"/>
    </xf>
    <xf numFmtId="9" fontId="115" fillId="12" borderId="4" xfId="2" applyFont="1" applyFill="1" applyBorder="1" applyProtection="1">
      <protection locked="0"/>
    </xf>
    <xf numFmtId="0" fontId="118" fillId="0" borderId="0" xfId="0" applyFont="1"/>
    <xf numFmtId="9" fontId="116" fillId="5" borderId="39" xfId="2" applyFont="1" applyFill="1" applyBorder="1" applyAlignment="1" applyProtection="1">
      <alignment horizontal="center"/>
      <protection locked="0"/>
    </xf>
    <xf numFmtId="168" fontId="115" fillId="12" borderId="4" xfId="0" applyNumberFormat="1" applyFont="1" applyFill="1" applyBorder="1" applyProtection="1">
      <protection locked="0"/>
    </xf>
    <xf numFmtId="164" fontId="0" fillId="0" borderId="0" xfId="0" applyNumberFormat="1" applyAlignment="1">
      <alignment horizontal="right"/>
    </xf>
    <xf numFmtId="0" fontId="119" fillId="0" borderId="0" xfId="0" applyFont="1"/>
    <xf numFmtId="0" fontId="113" fillId="0" borderId="0" xfId="0" applyFont="1"/>
    <xf numFmtId="0" fontId="6" fillId="23" borderId="4" xfId="0" applyFont="1" applyFill="1" applyBorder="1" applyAlignment="1">
      <alignment horizontal="center"/>
    </xf>
    <xf numFmtId="0" fontId="72" fillId="0" borderId="0" xfId="0" applyFont="1"/>
    <xf numFmtId="0" fontId="6" fillId="5" borderId="4" xfId="0" applyFont="1" applyFill="1" applyBorder="1" applyAlignment="1">
      <alignment horizontal="center"/>
    </xf>
    <xf numFmtId="3" fontId="0" fillId="5" borderId="0" xfId="0" applyNumberFormat="1" applyFill="1" applyAlignment="1">
      <alignment wrapText="1"/>
    </xf>
    <xf numFmtId="0" fontId="120" fillId="23" borderId="4" xfId="0" applyFont="1" applyFill="1" applyBorder="1" applyAlignment="1">
      <alignment horizontal="center"/>
    </xf>
    <xf numFmtId="3" fontId="72" fillId="23" borderId="0" xfId="5" applyNumberFormat="1" applyFont="1" applyFill="1" applyBorder="1"/>
    <xf numFmtId="168" fontId="72" fillId="23" borderId="0" xfId="5" applyNumberFormat="1" applyFont="1" applyFill="1" applyBorder="1"/>
    <xf numFmtId="0" fontId="72" fillId="23" borderId="0" xfId="0" applyFont="1" applyFill="1" applyAlignment="1">
      <alignment wrapText="1"/>
    </xf>
    <xf numFmtId="0" fontId="0" fillId="16" borderId="0" xfId="0" applyFill="1" applyAlignment="1">
      <alignment horizontal="right" wrapText="1"/>
    </xf>
    <xf numFmtId="3" fontId="0" fillId="16" borderId="0" xfId="0" applyNumberFormat="1" applyFill="1" applyAlignment="1">
      <alignment horizontal="center" wrapText="1"/>
    </xf>
    <xf numFmtId="181" fontId="0" fillId="17" borderId="0" xfId="2" applyNumberFormat="1" applyFont="1" applyFill="1" applyAlignment="1">
      <alignment wrapText="1"/>
    </xf>
    <xf numFmtId="3" fontId="0" fillId="17" borderId="0" xfId="0" applyNumberFormat="1" applyFill="1" applyAlignment="1">
      <alignment horizontal="center" wrapText="1"/>
    </xf>
    <xf numFmtId="0" fontId="125" fillId="0" borderId="0" xfId="0" applyFont="1" applyAlignment="1">
      <alignment horizontal="left" vertical="center" readingOrder="1"/>
    </xf>
    <xf numFmtId="3" fontId="0" fillId="0" borderId="0" xfId="5" applyNumberFormat="1" applyFont="1" applyFill="1" applyBorder="1" applyAlignment="1" applyProtection="1">
      <alignment horizontal="right" indent="2"/>
      <protection locked="0"/>
    </xf>
    <xf numFmtId="168" fontId="76" fillId="0" borderId="0" xfId="2" applyNumberFormat="1" applyFont="1"/>
    <xf numFmtId="0" fontId="126" fillId="0" borderId="0" xfId="0" applyFont="1"/>
    <xf numFmtId="9" fontId="72" fillId="0" borderId="4" xfId="0" applyNumberFormat="1" applyFont="1" applyBorder="1" applyAlignment="1">
      <alignment horizontal="center"/>
    </xf>
    <xf numFmtId="9" fontId="127" fillId="24" borderId="4" xfId="0" applyNumberFormat="1" applyFont="1" applyFill="1" applyBorder="1" applyProtection="1">
      <protection locked="0"/>
    </xf>
    <xf numFmtId="3" fontId="126" fillId="0" borderId="4" xfId="0" applyNumberFormat="1" applyFont="1" applyBorder="1"/>
    <xf numFmtId="0" fontId="6" fillId="0" borderId="4" xfId="0" quotePrefix="1" applyFont="1" applyBorder="1" applyAlignment="1">
      <alignment horizontal="center"/>
    </xf>
    <xf numFmtId="0" fontId="6" fillId="0" borderId="4" xfId="0" quotePrefix="1" applyFont="1" applyBorder="1"/>
    <xf numFmtId="9" fontId="127" fillId="24" borderId="4" xfId="2" applyFont="1" applyFill="1" applyBorder="1" applyProtection="1">
      <protection locked="0"/>
    </xf>
    <xf numFmtId="9" fontId="126" fillId="0" borderId="4" xfId="2" applyFont="1" applyFill="1" applyBorder="1" applyProtection="1"/>
    <xf numFmtId="171" fontId="2" fillId="0" borderId="0" xfId="1" applyNumberFormat="1" applyFont="1" applyFill="1" applyBorder="1" applyAlignment="1">
      <alignment horizontal="right"/>
    </xf>
    <xf numFmtId="9" fontId="6" fillId="0" borderId="0" xfId="0" applyNumberFormat="1" applyFont="1" applyAlignment="1">
      <alignment horizontal="center"/>
    </xf>
    <xf numFmtId="0" fontId="4" fillId="2" borderId="6" xfId="0" applyFont="1" applyFill="1" applyBorder="1" applyAlignment="1">
      <alignment horizontal="center"/>
    </xf>
    <xf numFmtId="168" fontId="23" fillId="12" borderId="61" xfId="0" applyNumberFormat="1" applyFont="1" applyFill="1" applyBorder="1" applyAlignment="1" applyProtection="1">
      <alignment horizontal="right"/>
      <protection locked="0"/>
    </xf>
    <xf numFmtId="9" fontId="6" fillId="0" borderId="4" xfId="0" applyNumberFormat="1" applyFont="1" applyBorder="1" applyAlignment="1">
      <alignment horizontal="center"/>
    </xf>
    <xf numFmtId="41" fontId="6" fillId="0" borderId="4" xfId="0" applyNumberFormat="1" applyFont="1" applyBorder="1"/>
    <xf numFmtId="0" fontId="3" fillId="0" borderId="4" xfId="0" applyFont="1" applyBorder="1"/>
    <xf numFmtId="0" fontId="20" fillId="2" borderId="4" xfId="0" applyFont="1" applyFill="1" applyBorder="1" applyAlignment="1">
      <alignment horizontal="center"/>
    </xf>
    <xf numFmtId="10" fontId="3" fillId="2" borderId="4" xfId="2" applyNumberFormat="1" applyFont="1" applyFill="1" applyBorder="1" applyAlignment="1">
      <alignment horizontal="right"/>
    </xf>
    <xf numFmtId="6" fontId="6" fillId="12" borderId="4" xfId="0" applyNumberFormat="1" applyFont="1" applyFill="1" applyBorder="1" applyAlignment="1">
      <alignment horizontal="right"/>
    </xf>
    <xf numFmtId="168" fontId="6" fillId="0" borderId="4" xfId="0" applyNumberFormat="1" applyFont="1" applyBorder="1" applyAlignment="1">
      <alignment horizontal="right"/>
    </xf>
    <xf numFmtId="0" fontId="128" fillId="0" borderId="4" xfId="0" applyFont="1" applyBorder="1" applyAlignment="1">
      <alignment horizontal="center"/>
    </xf>
    <xf numFmtId="0" fontId="1" fillId="0" borderId="0" xfId="0" applyFont="1" applyAlignment="1">
      <alignment horizontal="center"/>
    </xf>
    <xf numFmtId="44" fontId="42" fillId="0" borderId="0" xfId="0" applyNumberFormat="1" applyFont="1"/>
    <xf numFmtId="170" fontId="115" fillId="12" borderId="6" xfId="1" applyNumberFormat="1" applyFont="1" applyFill="1" applyBorder="1" applyProtection="1">
      <protection locked="0"/>
    </xf>
    <xf numFmtId="0" fontId="27" fillId="0" borderId="4" xfId="0" applyFont="1" applyBorder="1" applyAlignment="1">
      <alignment horizontal="center"/>
    </xf>
    <xf numFmtId="0" fontId="0" fillId="14" borderId="0" xfId="0" applyFill="1" applyAlignment="1">
      <alignment horizontal="center" wrapText="1"/>
    </xf>
    <xf numFmtId="0" fontId="72" fillId="0" borderId="13" xfId="0" applyFont="1" applyBorder="1" applyAlignment="1">
      <alignment horizontal="left"/>
    </xf>
    <xf numFmtId="0" fontId="72" fillId="0" borderId="13" xfId="0" applyFont="1" applyBorder="1" applyAlignment="1">
      <alignment horizontal="center"/>
    </xf>
    <xf numFmtId="0" fontId="71" fillId="0" borderId="13" xfId="0" applyFont="1" applyBorder="1" applyAlignment="1">
      <alignment horizontal="center"/>
    </xf>
    <xf numFmtId="168" fontId="117" fillId="0" borderId="13" xfId="0" applyNumberFormat="1" applyFont="1" applyBorder="1" applyAlignment="1" applyProtection="1">
      <alignment horizontal="right"/>
      <protection locked="0"/>
    </xf>
    <xf numFmtId="0" fontId="4" fillId="0" borderId="4" xfId="0" applyFont="1" applyBorder="1" applyAlignment="1">
      <alignment horizontal="left" indent="1"/>
    </xf>
    <xf numFmtId="3" fontId="6" fillId="12" borderId="4" xfId="0" applyNumberFormat="1" applyFont="1" applyFill="1" applyBorder="1" applyAlignment="1">
      <alignment horizontal="right"/>
    </xf>
    <xf numFmtId="3" fontId="6" fillId="12" borderId="4" xfId="0" applyNumberFormat="1" applyFont="1" applyFill="1" applyBorder="1"/>
    <xf numFmtId="0" fontId="46" fillId="0" borderId="4" xfId="0" applyFont="1" applyBorder="1" applyAlignment="1">
      <alignment horizontal="center" wrapText="1"/>
    </xf>
    <xf numFmtId="176" fontId="126" fillId="0" borderId="4" xfId="0" applyNumberFormat="1" applyFont="1" applyBorder="1"/>
    <xf numFmtId="0" fontId="129" fillId="0" borderId="0" xfId="0" applyFont="1"/>
    <xf numFmtId="0" fontId="130" fillId="0" borderId="0" xfId="0" applyFont="1"/>
    <xf numFmtId="0" fontId="131" fillId="0" borderId="4" xfId="0" applyFont="1" applyBorder="1"/>
    <xf numFmtId="0" fontId="21" fillId="0" borderId="0" xfId="0" applyFont="1"/>
    <xf numFmtId="170" fontId="72" fillId="0" borderId="0" xfId="0" applyNumberFormat="1" applyFont="1"/>
    <xf numFmtId="181" fontId="127" fillId="24" borderId="4" xfId="2" applyNumberFormat="1" applyFont="1" applyFill="1" applyBorder="1" applyProtection="1">
      <protection locked="0"/>
    </xf>
    <xf numFmtId="181" fontId="126" fillId="0" borderId="4" xfId="2" applyNumberFormat="1" applyFont="1" applyFill="1" applyBorder="1" applyProtection="1"/>
    <xf numFmtId="170" fontId="23" fillId="0" borderId="13" xfId="2" applyNumberFormat="1" applyFont="1" applyFill="1" applyBorder="1" applyProtection="1"/>
    <xf numFmtId="0" fontId="6" fillId="0" borderId="13" xfId="0" applyFont="1" applyBorder="1"/>
    <xf numFmtId="170" fontId="23" fillId="0" borderId="13" xfId="2" applyNumberFormat="1" applyFont="1" applyFill="1" applyBorder="1" applyProtection="1">
      <protection locked="0"/>
    </xf>
    <xf numFmtId="9" fontId="0" fillId="17" borderId="0" xfId="2" applyFont="1" applyFill="1" applyAlignment="1">
      <alignment wrapText="1"/>
    </xf>
    <xf numFmtId="1" fontId="0" fillId="17" borderId="0" xfId="2" applyNumberFormat="1" applyFont="1" applyFill="1"/>
    <xf numFmtId="168" fontId="0" fillId="17" borderId="0" xfId="2" applyNumberFormat="1" applyFont="1" applyFill="1"/>
    <xf numFmtId="176" fontId="126" fillId="0" borderId="12" xfId="0" applyNumberFormat="1" applyFont="1" applyBorder="1"/>
    <xf numFmtId="170" fontId="121" fillId="24" borderId="12" xfId="0" applyNumberFormat="1" applyFont="1" applyFill="1" applyBorder="1" applyProtection="1">
      <protection locked="0"/>
    </xf>
    <xf numFmtId="170" fontId="50" fillId="12" borderId="12" xfId="0" applyNumberFormat="1" applyFont="1" applyFill="1" applyBorder="1" applyProtection="1">
      <protection locked="0"/>
    </xf>
    <xf numFmtId="168" fontId="46" fillId="0" borderId="4" xfId="0" applyNumberFormat="1" applyFont="1" applyBorder="1"/>
    <xf numFmtId="168" fontId="0" fillId="0" borderId="4" xfId="0" applyNumberFormat="1" applyBorder="1"/>
    <xf numFmtId="168" fontId="1" fillId="0" borderId="4" xfId="0" applyNumberFormat="1" applyFont="1" applyBorder="1"/>
    <xf numFmtId="3" fontId="113" fillId="12" borderId="4" xfId="0" applyNumberFormat="1" applyFont="1" applyFill="1" applyBorder="1" applyAlignment="1" applyProtection="1">
      <alignment horizontal="center"/>
      <protection locked="0"/>
    </xf>
    <xf numFmtId="3" fontId="132" fillId="12" borderId="4" xfId="0" applyNumberFormat="1" applyFont="1" applyFill="1" applyBorder="1" applyAlignment="1" applyProtection="1">
      <alignment horizontal="center"/>
      <protection locked="0"/>
    </xf>
    <xf numFmtId="1" fontId="72" fillId="12" borderId="4" xfId="0" applyNumberFormat="1" applyFont="1" applyFill="1" applyBorder="1" applyAlignment="1" applyProtection="1">
      <alignment horizontal="center"/>
      <protection locked="0"/>
    </xf>
    <xf numFmtId="9" fontId="115" fillId="12" borderId="4" xfId="0" applyNumberFormat="1" applyFont="1" applyFill="1" applyBorder="1" applyProtection="1">
      <protection locked="0"/>
    </xf>
    <xf numFmtId="9" fontId="116" fillId="5" borderId="4" xfId="2" applyFont="1" applyFill="1" applyBorder="1" applyAlignment="1" applyProtection="1">
      <alignment horizontal="center" vertical="center"/>
      <protection locked="0"/>
    </xf>
    <xf numFmtId="0" fontId="42" fillId="0" borderId="0" xfId="0" applyFont="1" applyAlignment="1">
      <alignment horizontal="left" vertical="center" wrapText="1"/>
    </xf>
    <xf numFmtId="0" fontId="42" fillId="0" borderId="0" xfId="0" applyFont="1" applyAlignment="1">
      <alignment horizontal="left" vertical="center"/>
    </xf>
    <xf numFmtId="14" fontId="42" fillId="0" borderId="0" xfId="0" applyNumberFormat="1" applyFont="1" applyAlignment="1" applyProtection="1">
      <alignment horizontal="left" vertical="center"/>
      <protection locked="0"/>
    </xf>
    <xf numFmtId="0" fontId="104" fillId="19" borderId="0" xfId="0" applyFont="1" applyFill="1" applyAlignment="1">
      <alignment horizontal="center" vertical="center"/>
    </xf>
    <xf numFmtId="0" fontId="106" fillId="0" borderId="0" xfId="3" applyFont="1" applyAlignment="1" applyProtection="1">
      <alignment horizontal="left" vertical="center"/>
    </xf>
    <xf numFmtId="0" fontId="42" fillId="0" borderId="0" xfId="0" applyFont="1" applyAlignment="1">
      <alignment horizontal="center" vertical="center"/>
    </xf>
    <xf numFmtId="0" fontId="42" fillId="0" borderId="17" xfId="0" applyFont="1" applyBorder="1" applyAlignment="1">
      <alignment horizontal="left" vertical="top" wrapText="1"/>
    </xf>
    <xf numFmtId="0" fontId="42" fillId="0" borderId="0" xfId="0" applyFont="1" applyAlignment="1">
      <alignment horizontal="left" vertical="top" wrapText="1"/>
    </xf>
    <xf numFmtId="0" fontId="42" fillId="0" borderId="18" xfId="0" applyFont="1" applyBorder="1" applyAlignment="1">
      <alignment horizontal="left" vertical="top" wrapText="1"/>
    </xf>
    <xf numFmtId="0" fontId="52" fillId="19" borderId="12" xfId="0" applyFont="1" applyFill="1" applyBorder="1" applyAlignment="1">
      <alignment horizontal="left" vertical="top" wrapText="1"/>
    </xf>
    <xf numFmtId="0" fontId="52" fillId="19" borderId="13" xfId="0" applyFont="1" applyFill="1" applyBorder="1" applyAlignment="1">
      <alignment horizontal="left" vertical="top" wrapText="1"/>
    </xf>
    <xf numFmtId="0" fontId="52" fillId="19" borderId="14" xfId="0" applyFont="1" applyFill="1" applyBorder="1" applyAlignment="1">
      <alignment horizontal="left" vertical="top" wrapText="1"/>
    </xf>
    <xf numFmtId="0" fontId="61" fillId="0" borderId="12" xfId="0" applyFont="1" applyBorder="1" applyAlignment="1">
      <alignment horizontal="left" vertical="top" wrapText="1"/>
    </xf>
    <xf numFmtId="0" fontId="61" fillId="0" borderId="13" xfId="0" applyFont="1" applyBorder="1" applyAlignment="1">
      <alignment horizontal="left" vertical="top" wrapText="1"/>
    </xf>
    <xf numFmtId="0" fontId="61" fillId="0" borderId="14" xfId="0" applyFont="1" applyBorder="1" applyAlignment="1">
      <alignment horizontal="left" vertical="top" wrapText="1"/>
    </xf>
    <xf numFmtId="0" fontId="61" fillId="0" borderId="17" xfId="0" applyFont="1" applyBorder="1" applyAlignment="1">
      <alignment horizontal="left" vertical="top" wrapText="1"/>
    </xf>
    <xf numFmtId="0" fontId="61" fillId="0" borderId="0" xfId="0" applyFont="1" applyAlignment="1">
      <alignment horizontal="left" vertical="top" wrapText="1"/>
    </xf>
    <xf numFmtId="0" fontId="61" fillId="0" borderId="18" xfId="0" applyFont="1" applyBorder="1" applyAlignment="1">
      <alignment horizontal="left" vertical="top" wrapText="1"/>
    </xf>
    <xf numFmtId="0" fontId="61" fillId="5" borderId="15" xfId="0" applyFont="1" applyFill="1" applyBorder="1" applyAlignment="1">
      <alignment horizontal="left" vertical="center" wrapText="1"/>
    </xf>
    <xf numFmtId="0" fontId="61" fillId="5" borderId="9" xfId="0" applyFont="1" applyFill="1" applyBorder="1" applyAlignment="1">
      <alignment horizontal="left" vertical="center" wrapText="1"/>
    </xf>
    <xf numFmtId="0" fontId="61" fillId="5" borderId="16" xfId="0" applyFont="1" applyFill="1" applyBorder="1" applyAlignment="1">
      <alignment horizontal="left" vertical="center" wrapText="1"/>
    </xf>
    <xf numFmtId="0" fontId="42" fillId="0" borderId="15" xfId="0" applyFont="1" applyBorder="1" applyAlignment="1">
      <alignment horizontal="left" vertical="top" wrapText="1"/>
    </xf>
    <xf numFmtId="0" fontId="42" fillId="0" borderId="9" xfId="0" applyFont="1" applyBorder="1" applyAlignment="1">
      <alignment horizontal="left" vertical="top" wrapText="1"/>
    </xf>
    <xf numFmtId="0" fontId="42" fillId="0" borderId="16" xfId="0" applyFont="1" applyBorder="1" applyAlignment="1">
      <alignment horizontal="left" vertical="top" wrapText="1"/>
    </xf>
    <xf numFmtId="0" fontId="41" fillId="5" borderId="12" xfId="6" applyFont="1" applyFill="1" applyBorder="1" applyAlignment="1">
      <alignment horizontal="left" vertical="center"/>
    </xf>
    <xf numFmtId="0" fontId="41" fillId="5" borderId="13" xfId="6" applyFont="1" applyFill="1" applyBorder="1" applyAlignment="1">
      <alignment horizontal="left" vertical="center"/>
    </xf>
    <xf numFmtId="0" fontId="41" fillId="5" borderId="14" xfId="6" applyFont="1" applyFill="1" applyBorder="1" applyAlignment="1">
      <alignment horizontal="left" vertical="center"/>
    </xf>
    <xf numFmtId="0" fontId="105" fillId="0" borderId="12" xfId="0" applyFont="1" applyBorder="1" applyAlignment="1">
      <alignment horizontal="left" vertical="top" wrapText="1"/>
    </xf>
    <xf numFmtId="0" fontId="105" fillId="0" borderId="13" xfId="0" applyFont="1" applyBorder="1" applyAlignment="1">
      <alignment horizontal="left" vertical="top" wrapText="1"/>
    </xf>
    <xf numFmtId="0" fontId="105" fillId="0" borderId="14" xfId="0" applyFont="1" applyBorder="1" applyAlignment="1">
      <alignment horizontal="left" vertical="top" wrapText="1"/>
    </xf>
    <xf numFmtId="0" fontId="41" fillId="5" borderId="12" xfId="0" applyFont="1" applyFill="1" applyBorder="1" applyAlignment="1">
      <alignment horizontal="left" wrapText="1"/>
    </xf>
    <xf numFmtId="0" fontId="41" fillId="5" borderId="13" xfId="0" applyFont="1" applyFill="1" applyBorder="1" applyAlignment="1">
      <alignment horizontal="left" wrapText="1"/>
    </xf>
    <xf numFmtId="0" fontId="41" fillId="5" borderId="14" xfId="0" applyFont="1" applyFill="1" applyBorder="1" applyAlignment="1">
      <alignment horizontal="left" wrapText="1"/>
    </xf>
    <xf numFmtId="0" fontId="35" fillId="4" borderId="1" xfId="0" applyFont="1" applyFill="1" applyBorder="1" applyAlignment="1">
      <alignment horizontal="center" vertical="center" wrapText="1"/>
    </xf>
    <xf numFmtId="0" fontId="35" fillId="4" borderId="2" xfId="0" applyFont="1" applyFill="1" applyBorder="1" applyAlignment="1">
      <alignment horizontal="center" vertical="center" wrapText="1"/>
    </xf>
    <xf numFmtId="0" fontId="35" fillId="4" borderId="3" xfId="0" applyFont="1" applyFill="1" applyBorder="1" applyAlignment="1">
      <alignment horizontal="center" vertical="center" wrapText="1"/>
    </xf>
    <xf numFmtId="0" fontId="27" fillId="0" borderId="12" xfId="0" applyFont="1" applyBorder="1" applyAlignment="1">
      <alignment horizontal="left" wrapText="1"/>
    </xf>
    <xf numFmtId="0" fontId="27" fillId="0" borderId="14" xfId="0" applyFont="1" applyBorder="1" applyAlignment="1">
      <alignment horizontal="left" wrapText="1"/>
    </xf>
    <xf numFmtId="164" fontId="23" fillId="0" borderId="54" xfId="2" applyNumberFormat="1" applyFont="1" applyFill="1" applyBorder="1" applyAlignment="1">
      <alignment horizontal="center"/>
    </xf>
    <xf numFmtId="164" fontId="23" fillId="0" borderId="22" xfId="2" applyNumberFormat="1" applyFont="1" applyFill="1" applyBorder="1" applyAlignment="1">
      <alignment horizontal="center"/>
    </xf>
    <xf numFmtId="164" fontId="23" fillId="0" borderId="55" xfId="2" applyNumberFormat="1" applyFont="1" applyFill="1" applyBorder="1" applyAlignment="1">
      <alignment horizontal="center"/>
    </xf>
    <xf numFmtId="0" fontId="8" fillId="5" borderId="2" xfId="0" applyFont="1" applyFill="1" applyBorder="1" applyAlignment="1">
      <alignment horizontal="center" vertical="center"/>
    </xf>
    <xf numFmtId="0" fontId="8" fillId="5" borderId="10" xfId="0" applyFont="1" applyFill="1" applyBorder="1" applyAlignment="1">
      <alignment horizontal="center" vertical="center"/>
    </xf>
    <xf numFmtId="0" fontId="21" fillId="0" borderId="51" xfId="0" applyFont="1" applyBorder="1" applyAlignment="1">
      <alignment horizontal="center"/>
    </xf>
    <xf numFmtId="0" fontId="21" fillId="0" borderId="2" xfId="0" applyFont="1" applyBorder="1" applyAlignment="1">
      <alignment horizontal="center"/>
    </xf>
    <xf numFmtId="0" fontId="21" fillId="0" borderId="48" xfId="0" applyFont="1" applyBorder="1" applyAlignment="1">
      <alignment horizontal="center"/>
    </xf>
    <xf numFmtId="164" fontId="23" fillId="0" borderId="51" xfId="2" applyNumberFormat="1" applyFont="1" applyFill="1" applyBorder="1" applyAlignment="1">
      <alignment horizontal="center"/>
    </xf>
    <xf numFmtId="164" fontId="23" fillId="0" borderId="2" xfId="2" applyNumberFormat="1" applyFont="1" applyFill="1" applyBorder="1" applyAlignment="1">
      <alignment horizontal="center"/>
    </xf>
    <xf numFmtId="164" fontId="23" fillId="0" borderId="48" xfId="2" applyNumberFormat="1" applyFont="1" applyFill="1" applyBorder="1" applyAlignment="1">
      <alignment horizontal="center"/>
    </xf>
    <xf numFmtId="170" fontId="133" fillId="12" borderId="12" xfId="2" applyNumberFormat="1" applyFont="1" applyFill="1" applyBorder="1" applyAlignment="1" applyProtection="1">
      <alignment horizontal="left" wrapText="1"/>
      <protection locked="0"/>
    </xf>
    <xf numFmtId="170" fontId="133" fillId="12" borderId="13" xfId="2" applyNumberFormat="1" applyFont="1" applyFill="1" applyBorder="1" applyAlignment="1" applyProtection="1">
      <alignment horizontal="left" wrapText="1"/>
      <protection locked="0"/>
    </xf>
    <xf numFmtId="170" fontId="133" fillId="12" borderId="14" xfId="2" applyNumberFormat="1" applyFont="1" applyFill="1" applyBorder="1" applyAlignment="1" applyProtection="1">
      <alignment horizontal="left" wrapText="1"/>
      <protection locked="0"/>
    </xf>
    <xf numFmtId="0" fontId="83" fillId="5" borderId="49" xfId="0" applyFont="1" applyFill="1" applyBorder="1" applyAlignment="1">
      <alignment horizontal="center" vertical="center"/>
    </xf>
    <xf numFmtId="0" fontId="87" fillId="15" borderId="0" xfId="6" applyFont="1" applyFill="1" applyAlignment="1">
      <alignment horizontal="center"/>
    </xf>
    <xf numFmtId="170" fontId="92" fillId="5" borderId="0" xfId="0" applyNumberFormat="1" applyFont="1" applyFill="1" applyAlignment="1">
      <alignment horizontal="center" vertical="center" textRotation="90"/>
    </xf>
    <xf numFmtId="0" fontId="47" fillId="0" borderId="12" xfId="0" applyFont="1" applyBorder="1" applyAlignment="1">
      <alignment horizontal="center" vertical="center" wrapText="1"/>
    </xf>
    <xf numFmtId="0" fontId="47" fillId="0" borderId="13" xfId="0" applyFont="1" applyBorder="1" applyAlignment="1">
      <alignment horizontal="center" vertical="center" wrapText="1"/>
    </xf>
    <xf numFmtId="0" fontId="47" fillId="0" borderId="14" xfId="0" applyFont="1" applyBorder="1" applyAlignment="1">
      <alignment horizontal="center" vertical="center" wrapText="1"/>
    </xf>
    <xf numFmtId="0" fontId="49" fillId="6" borderId="1" xfId="0" applyFont="1" applyFill="1" applyBorder="1" applyAlignment="1">
      <alignment horizontal="center" vertical="center" wrapText="1"/>
    </xf>
    <xf numFmtId="0" fontId="49" fillId="6" borderId="2"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0" fillId="0" borderId="0" xfId="0" applyAlignment="1">
      <alignment vertical="center" wrapText="1"/>
    </xf>
    <xf numFmtId="0" fontId="0" fillId="0" borderId="0" xfId="0"/>
    <xf numFmtId="0" fontId="0" fillId="0" borderId="0" xfId="0" applyAlignment="1">
      <alignment vertical="center"/>
    </xf>
    <xf numFmtId="0" fontId="58" fillId="0" borderId="19" xfId="0" applyFont="1" applyBorder="1" applyAlignment="1">
      <alignment horizontal="center" vertical="center" wrapText="1"/>
    </xf>
    <xf numFmtId="0" fontId="58" fillId="0" borderId="15" xfId="0" applyFont="1" applyBorder="1" applyAlignment="1">
      <alignment horizontal="center" vertical="center" wrapText="1"/>
    </xf>
    <xf numFmtId="0" fontId="58" fillId="0" borderId="20" xfId="0" applyFont="1" applyBorder="1" applyAlignment="1">
      <alignment horizontal="center" vertical="center" wrapText="1"/>
    </xf>
    <xf numFmtId="0" fontId="58" fillId="0" borderId="16" xfId="0" applyFont="1" applyBorder="1" applyAlignment="1">
      <alignment horizontal="center" vertical="center" wrapText="1"/>
    </xf>
    <xf numFmtId="0" fontId="58" fillId="0" borderId="12" xfId="0" applyFont="1" applyBorder="1" applyAlignment="1">
      <alignment horizontal="center"/>
    </xf>
    <xf numFmtId="0" fontId="58" fillId="0" borderId="14" xfId="0" applyFont="1" applyBorder="1" applyAlignment="1">
      <alignment horizontal="center"/>
    </xf>
    <xf numFmtId="0" fontId="3" fillId="8" borderId="0" xfId="0" applyFont="1" applyFill="1" applyAlignment="1">
      <alignment horizontal="center"/>
    </xf>
    <xf numFmtId="0" fontId="3" fillId="10" borderId="1" xfId="0" applyFont="1" applyFill="1" applyBorder="1" applyAlignment="1">
      <alignment horizontal="left" vertical="center" wrapText="1"/>
    </xf>
    <xf numFmtId="0" fontId="3" fillId="10" borderId="3" xfId="0" applyFont="1" applyFill="1" applyBorder="1" applyAlignment="1">
      <alignment horizontal="left" vertical="center" wrapText="1"/>
    </xf>
    <xf numFmtId="177" fontId="3" fillId="10" borderId="1" xfId="0" applyNumberFormat="1" applyFont="1" applyFill="1" applyBorder="1" applyAlignment="1">
      <alignment horizontal="left"/>
    </xf>
    <xf numFmtId="177" fontId="3" fillId="10" borderId="3" xfId="0" applyNumberFormat="1" applyFont="1" applyFill="1" applyBorder="1" applyAlignment="1">
      <alignment horizontal="left"/>
    </xf>
  </cellXfs>
  <cellStyles count="7">
    <cellStyle name="Comma" xfId="5" builtinId="3"/>
    <cellStyle name="Currency" xfId="1" builtinId="4"/>
    <cellStyle name="Hyperlink" xfId="3" builtinId="8"/>
    <cellStyle name="Normal" xfId="0" builtinId="0"/>
    <cellStyle name="Normal 2" xfId="6" xr:uid="{B364A48D-8407-43E6-BA66-BFB5B53E41E0}"/>
    <cellStyle name="Percent" xfId="2" builtinId="5"/>
    <cellStyle name="Percent 2" xfId="4" xr:uid="{00000000-0005-0000-0000-000005000000}"/>
  </cellStyles>
  <dxfs count="99">
    <dxf>
      <font>
        <color theme="0" tint="-0.14996795556505021"/>
      </font>
      <fill>
        <patternFill>
          <bgColor theme="0" tint="-0.14996795556505021"/>
        </patternFill>
      </fill>
    </dxf>
    <dxf>
      <font>
        <color theme="0"/>
      </font>
    </dxf>
    <dxf>
      <font>
        <color auto="1"/>
      </font>
      <fill>
        <patternFill>
          <bgColor rgb="FF00B050"/>
        </patternFill>
      </fill>
    </dxf>
    <dxf>
      <font>
        <color auto="1"/>
      </font>
      <fill>
        <patternFill>
          <bgColor rgb="FF00B050"/>
        </patternFill>
      </fill>
    </dxf>
    <dxf>
      <fill>
        <patternFill patternType="none">
          <bgColor auto="1"/>
        </patternFill>
      </fill>
    </dxf>
    <dxf>
      <font>
        <color theme="0"/>
      </font>
    </dxf>
    <dxf>
      <font>
        <color theme="0"/>
      </font>
    </dxf>
    <dxf>
      <font>
        <color theme="0"/>
      </font>
    </dxf>
    <dxf>
      <font>
        <color theme="0"/>
      </font>
    </dxf>
    <dxf>
      <font>
        <color theme="0"/>
      </font>
    </dxf>
    <dxf>
      <font>
        <color theme="0"/>
      </font>
    </dxf>
    <dxf>
      <font>
        <color theme="0" tint="-0.1499679555650502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theme="0" tint="-0.14996795556505021"/>
      </font>
      <fill>
        <patternFill>
          <bgColor theme="0" tint="-0.14996795556505021"/>
        </patternFill>
      </fill>
    </dxf>
    <dxf>
      <font>
        <color rgb="FFD9D9D9"/>
      </font>
      <fill>
        <patternFill>
          <bgColor rgb="FFD9D9D9"/>
        </patternFill>
      </fill>
    </dxf>
    <dxf>
      <font>
        <color rgb="FFD9D9D9"/>
      </font>
      <fill>
        <patternFill>
          <bgColor rgb="FFD9D9D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auto="1"/>
      </font>
      <fill>
        <patternFill patternType="none">
          <bgColor auto="1"/>
        </patternFill>
      </fill>
    </dxf>
    <dxf>
      <font>
        <color auto="1"/>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D9D9D9"/>
      </font>
      <fill>
        <patternFill>
          <bgColor rgb="FFD9D9D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D9D9D9"/>
      </font>
      <fill>
        <patternFill>
          <bgColor rgb="FFD9D9D9"/>
        </patternFill>
      </fill>
    </dxf>
    <dxf>
      <font>
        <color rgb="FFD9D9D9"/>
      </font>
      <fill>
        <patternFill>
          <bgColor rgb="FFD9D9D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D9D9D9"/>
      </font>
      <fill>
        <patternFill>
          <bgColor rgb="FFD9D9D9"/>
        </patternFill>
      </fill>
    </dxf>
    <dxf>
      <fill>
        <patternFill>
          <bgColor rgb="FFFF0000"/>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00"/>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FF00"/>
      </font>
      <fill>
        <patternFill>
          <bgColor rgb="FFFF0000"/>
        </patternFill>
      </fill>
    </dxf>
    <dxf>
      <font>
        <b/>
        <i val="0"/>
        <color rgb="FFFFFF00"/>
      </font>
      <fill>
        <patternFill>
          <bgColor rgb="FFFF0000"/>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00"/>
        </patternFill>
      </fill>
    </dxf>
    <dxf>
      <fill>
        <patternFill>
          <bgColor rgb="FFFFFF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0070C0"/>
      </font>
      <fill>
        <patternFill>
          <bgColor theme="0"/>
        </patternFill>
      </fill>
    </dxf>
    <dxf>
      <font>
        <color rgb="FF0070C0"/>
      </font>
      <fill>
        <patternFill>
          <bgColor theme="0"/>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patternType="none">
          <bgColor auto="1"/>
        </patternFill>
      </fill>
    </dxf>
    <dxf>
      <fill>
        <patternFill>
          <bgColor rgb="FFFF0000"/>
        </patternFill>
      </fill>
    </dxf>
    <dxf>
      <fill>
        <patternFill>
          <bgColor rgb="FFFF0000"/>
        </patternFill>
      </fill>
    </dxf>
    <dxf>
      <fill>
        <patternFill patternType="none">
          <bgColor auto="1"/>
        </patternFill>
      </fill>
    </dxf>
    <dxf>
      <fill>
        <patternFill>
          <bgColor rgb="FF00B050"/>
        </patternFill>
      </fill>
    </dxf>
    <dxf>
      <fill>
        <patternFill>
          <bgColor rgb="FFFF0000"/>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FF000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s>
  <tableStyles count="0" defaultTableStyle="TableStyleMedium9" defaultPivotStyle="PivotStyleLight16"/>
  <colors>
    <mruColors>
      <color rgb="FFFFFF99"/>
      <color rgb="FF000000"/>
      <color rgb="FF1C1C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'Key inputs &amp; Outputs'!$I$51</c:f>
          <c:strCache>
            <c:ptCount val="1"/>
            <c:pt idx="0">
              <c:v>Actual year 1 cash flows except that lumpy cash flows are converted to annual equivalents.  The cash flows increase over the defined life at an inflation rate of 2.0%/year</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0"/>
          <c:order val="0"/>
          <c:tx>
            <c:strRef>
              <c:f>'Detailed Cash Flow'!$B$69</c:f>
              <c:strCache>
                <c:ptCount val="1"/>
                <c:pt idx="0">
                  <c:v>Payment from digester operator</c:v>
                </c:pt>
              </c:strCache>
            </c:strRef>
          </c:tx>
          <c:spPr>
            <a:solidFill>
              <a:schemeClr val="accent5">
                <a:lumMod val="60000"/>
              </a:schemeClr>
            </a:solidFill>
            <a:ln>
              <a:noFill/>
            </a:ln>
            <a:effectLst/>
          </c:spPr>
          <c:invertIfNegative val="0"/>
          <c:dLbls>
            <c:dLbl>
              <c:idx val="0"/>
              <c:tx>
                <c:rich>
                  <a:bodyPr/>
                  <a:lstStyle/>
                  <a:p>
                    <a:fld id="{F33D0494-2049-49E0-B884-CC2CD77BA95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6B0-4078-9E73-ED0CF39E69A6}"/>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6B0-4078-9E73-ED0CF39E69A6}"/>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4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DataLabelsRange val="1"/>
                <c15:showLeaderLines val="0"/>
              </c:ext>
            </c:extLst>
          </c:dLbls>
          <c:cat>
            <c:numRef>
              <c:f>'Key inputs &amp; Outputs'!$J$50:$K$50</c:f>
              <c:numCache>
                <c:formatCode>General</c:formatCode>
                <c:ptCount val="2"/>
              </c:numCache>
            </c:numRef>
          </c:cat>
          <c:val>
            <c:numRef>
              <c:f>'Detailed Cash Flow'!$E$69:$F$69</c:f>
              <c:numCache>
                <c:formatCode>"$"#,##0</c:formatCode>
                <c:ptCount val="2"/>
                <c:pt idx="0">
                  <c:v>65388.118206266859</c:v>
                </c:pt>
              </c:numCache>
            </c:numRef>
          </c:val>
          <c:extLst>
            <c:ext xmlns:c15="http://schemas.microsoft.com/office/drawing/2012/chart" uri="{02D57815-91ED-43cb-92C2-25804820EDAC}">
              <c15:datalabelsRange>
                <c15:f>'Detailed Cash Flow'!$B$69</c15:f>
                <c15:dlblRangeCache>
                  <c:ptCount val="1"/>
                  <c:pt idx="0">
                    <c:v>Payment from digester operator</c:v>
                  </c:pt>
                </c15:dlblRangeCache>
              </c15:datalabelsRange>
            </c:ext>
            <c:ext xmlns:c16="http://schemas.microsoft.com/office/drawing/2014/chart" uri="{C3380CC4-5D6E-409C-BE32-E72D297353CC}">
              <c16:uniqueId val="{00000003-A6B0-4078-9E73-ED0CF39E69A6}"/>
            </c:ext>
          </c:extLst>
        </c:ser>
        <c:ser>
          <c:idx val="1"/>
          <c:order val="1"/>
          <c:tx>
            <c:strRef>
              <c:f>'Detailed Cash Flow'!$B$70</c:f>
              <c:strCache>
                <c:ptCount val="1"/>
                <c:pt idx="0">
                  <c:v>Nutrient value</c:v>
                </c:pt>
              </c:strCache>
            </c:strRef>
          </c:tx>
          <c:spPr>
            <a:solidFill>
              <a:schemeClr val="accent2"/>
            </a:solidFill>
            <a:ln>
              <a:noFill/>
            </a:ln>
            <a:effectLst/>
          </c:spPr>
          <c:invertIfNegative val="0"/>
          <c:dLbls>
            <c:dLbl>
              <c:idx val="0"/>
              <c:tx>
                <c:rich>
                  <a:bodyPr/>
                  <a:lstStyle/>
                  <a:p>
                    <a:fld id="{ACAA7C10-B88B-492A-A1F2-3386C7F7DF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6B0-4078-9E73-ED0CF39E69A6}"/>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6B0-4078-9E73-ED0CF39E69A6}"/>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14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DataLabelsRange val="1"/>
                <c15:showLeaderLines val="0"/>
              </c:ext>
            </c:extLst>
          </c:dLbls>
          <c:cat>
            <c:numRef>
              <c:f>'Key inputs &amp; Outputs'!$J$50:$K$50</c:f>
              <c:numCache>
                <c:formatCode>General</c:formatCode>
                <c:ptCount val="2"/>
              </c:numCache>
            </c:numRef>
          </c:cat>
          <c:val>
            <c:numRef>
              <c:f>'Detailed Cash Flow'!$E$70:$F$70</c:f>
              <c:numCache>
                <c:formatCode>"$"#,##0</c:formatCode>
                <c:ptCount val="2"/>
                <c:pt idx="0">
                  <c:v>37645.397872239315</c:v>
                </c:pt>
              </c:numCache>
            </c:numRef>
          </c:val>
          <c:extLst>
            <c:ext xmlns:c15="http://schemas.microsoft.com/office/drawing/2012/chart" uri="{02D57815-91ED-43cb-92C2-25804820EDAC}">
              <c15:datalabelsRange>
                <c15:f>'Detailed Cash Flow'!$B$70</c15:f>
                <c15:dlblRangeCache>
                  <c:ptCount val="1"/>
                  <c:pt idx="0">
                    <c:v>Nutrient value</c:v>
                  </c:pt>
                </c15:dlblRangeCache>
              </c15:datalabelsRange>
            </c:ext>
            <c:ext xmlns:c16="http://schemas.microsoft.com/office/drawing/2014/chart" uri="{C3380CC4-5D6E-409C-BE32-E72D297353CC}">
              <c16:uniqueId val="{00000006-A6B0-4078-9E73-ED0CF39E69A6}"/>
            </c:ext>
          </c:extLst>
        </c:ser>
        <c:ser>
          <c:idx val="11"/>
          <c:order val="2"/>
          <c:tx>
            <c:v>Bedding value</c:v>
          </c:tx>
          <c:spPr>
            <a:solidFill>
              <a:schemeClr val="bg1">
                <a:lumMod val="75000"/>
              </a:schemeClr>
            </a:solidFill>
            <a:ln>
              <a:noFill/>
            </a:ln>
            <a:effectLst/>
          </c:spPr>
          <c:invertIfNegative val="0"/>
          <c:dLbls>
            <c:dLbl>
              <c:idx val="0"/>
              <c:tx>
                <c:rich>
                  <a:bodyPr/>
                  <a:lstStyle/>
                  <a:p>
                    <a:fld id="{981E1136-1129-40E6-8D15-CB7333917B8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6B0-4078-9E73-ED0CF39E69A6}"/>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6B0-4078-9E73-ED0CF39E69A6}"/>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4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DataLabelsRange val="1"/>
                <c15:showLeaderLines val="0"/>
              </c:ext>
            </c:extLst>
          </c:dLbls>
          <c:cat>
            <c:numRef>
              <c:f>'Key inputs &amp; Outputs'!$J$50:$K$50</c:f>
              <c:numCache>
                <c:formatCode>General</c:formatCode>
                <c:ptCount val="2"/>
              </c:numCache>
            </c:numRef>
          </c:cat>
          <c:val>
            <c:numRef>
              <c:f>'Detailed Cash Flow'!$E$71:$F$71</c:f>
              <c:numCache>
                <c:formatCode>"$"#,##0</c:formatCode>
                <c:ptCount val="2"/>
                <c:pt idx="0">
                  <c:v>20000.000000000015</c:v>
                </c:pt>
              </c:numCache>
            </c:numRef>
          </c:val>
          <c:extLst>
            <c:ext xmlns:c15="http://schemas.microsoft.com/office/drawing/2012/chart" uri="{02D57815-91ED-43cb-92C2-25804820EDAC}">
              <c15:datalabelsRange>
                <c15:f>'Detailed Cash Flow'!$B$71</c15:f>
                <c15:dlblRangeCache>
                  <c:ptCount val="1"/>
                  <c:pt idx="0">
                    <c:v>Bedding value</c:v>
                  </c:pt>
                </c15:dlblRangeCache>
              </c15:datalabelsRange>
            </c:ext>
            <c:ext xmlns:c16="http://schemas.microsoft.com/office/drawing/2014/chart" uri="{C3380CC4-5D6E-409C-BE32-E72D297353CC}">
              <c16:uniqueId val="{0000000A-A6B0-4078-9E73-ED0CF39E69A6}"/>
            </c:ext>
          </c:extLst>
        </c:ser>
        <c:ser>
          <c:idx val="9"/>
          <c:order val="3"/>
          <c:tx>
            <c:strRef>
              <c:f>'Detailed Cash Flow'!$B$75</c:f>
              <c:strCache>
                <c:ptCount val="1"/>
                <c:pt idx="0">
                  <c:v>Initial equity</c:v>
                </c:pt>
              </c:strCache>
            </c:strRef>
          </c:tx>
          <c:spPr>
            <a:solidFill>
              <a:schemeClr val="accent4">
                <a:lumMod val="60000"/>
              </a:schemeClr>
            </a:solidFill>
            <a:ln>
              <a:noFill/>
            </a:ln>
            <a:effectLst/>
          </c:spPr>
          <c:invertIfNegative val="0"/>
          <c:dLbls>
            <c:dLbl>
              <c:idx val="1"/>
              <c:layout>
                <c:manualLayout>
                  <c:x val="-6.5244667503136761E-2"/>
                  <c:y val="0"/>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B9AA-4C52-AAB1-DF8D3140A1F0}"/>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4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'Key inputs &amp; Outputs'!$J$50:$K$50</c:f>
              <c:numCache>
                <c:formatCode>General</c:formatCode>
                <c:ptCount val="2"/>
              </c:numCache>
            </c:numRef>
          </c:cat>
          <c:val>
            <c:numRef>
              <c:f>'Detailed Cash Flow'!$E$75:$F$75</c:f>
              <c:numCache>
                <c:formatCode>"$"#,##0</c:formatCode>
                <c:ptCount val="2"/>
                <c:pt idx="1">
                  <c:v>813.73503832345727</c:v>
                </c:pt>
              </c:numCache>
            </c:numRef>
          </c:val>
          <c:extLst>
            <c:ext xmlns:c16="http://schemas.microsoft.com/office/drawing/2014/chart" uri="{C3380CC4-5D6E-409C-BE32-E72D297353CC}">
              <c16:uniqueId val="{0000000C-A6B0-4078-9E73-ED0CF39E69A6}"/>
            </c:ext>
          </c:extLst>
        </c:ser>
        <c:ser>
          <c:idx val="6"/>
          <c:order val="4"/>
          <c:tx>
            <c:strRef>
              <c:f>'Detailed Cash Flow'!$B$76</c:f>
              <c:strCache>
                <c:ptCount val="1"/>
                <c:pt idx="0">
                  <c:v>Interest</c:v>
                </c:pt>
              </c:strCache>
            </c:strRef>
          </c:tx>
          <c:spPr>
            <a:solidFill>
              <a:schemeClr val="accent3">
                <a:lumMod val="40000"/>
                <a:lumOff val="60000"/>
              </a:schemeClr>
            </a:solidFill>
            <a:ln>
              <a:noFill/>
            </a:ln>
            <a:effectLst/>
          </c:spPr>
          <c:invertIfNegative val="0"/>
          <c:dLbls>
            <c:dLbl>
              <c:idx val="1"/>
              <c:layout>
                <c:manualLayout>
                  <c:x val="9.5357590966122965E-2"/>
                  <c:y val="5.548069847457290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A6B0-4078-9E73-ED0CF39E69A6}"/>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14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'Key inputs &amp; Outputs'!$J$50:$K$50</c:f>
              <c:numCache>
                <c:formatCode>General</c:formatCode>
                <c:ptCount val="2"/>
              </c:numCache>
            </c:numRef>
          </c:cat>
          <c:val>
            <c:numRef>
              <c:f>'Detailed Cash Flow'!$E$76:$F$76</c:f>
              <c:numCache>
                <c:formatCode>"$"#,##0</c:formatCode>
                <c:ptCount val="2"/>
                <c:pt idx="1">
                  <c:v>88.869490067241642</c:v>
                </c:pt>
              </c:numCache>
            </c:numRef>
          </c:val>
          <c:extLst>
            <c:ext xmlns:c16="http://schemas.microsoft.com/office/drawing/2014/chart" uri="{C3380CC4-5D6E-409C-BE32-E72D297353CC}">
              <c16:uniqueId val="{0000000E-A6B0-4078-9E73-ED0CF39E69A6}"/>
            </c:ext>
          </c:extLst>
        </c:ser>
        <c:ser>
          <c:idx val="4"/>
          <c:order val="5"/>
          <c:tx>
            <c:strRef>
              <c:f>'Detailed Cash Flow'!$B$77</c:f>
              <c:strCache>
                <c:ptCount val="1"/>
                <c:pt idx="0">
                  <c:v>Principal</c:v>
                </c:pt>
              </c:strCache>
            </c:strRef>
          </c:tx>
          <c:spPr>
            <a:solidFill>
              <a:schemeClr val="accent5"/>
            </a:solidFill>
            <a:ln>
              <a:noFill/>
            </a:ln>
            <a:effectLst/>
          </c:spPr>
          <c:invertIfNegative val="0"/>
          <c:dLbls>
            <c:dLbl>
              <c:idx val="1"/>
              <c:layout>
                <c:manualLayout>
                  <c:x val="-1.0037641154328855E-2"/>
                  <c:y val="-1.8713453739182061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BA7E-4FF5-81B7-2B5A65B019CC}"/>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4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'Key inputs &amp; Outputs'!$J$50:$K$50</c:f>
              <c:numCache>
                <c:formatCode>General</c:formatCode>
                <c:ptCount val="2"/>
              </c:numCache>
            </c:numRef>
          </c:cat>
          <c:val>
            <c:numRef>
              <c:f>'Detailed Cash Flow'!$E$77:$F$77</c:f>
              <c:numCache>
                <c:formatCode>"$"#,##0</c:formatCode>
                <c:ptCount val="2"/>
                <c:pt idx="1">
                  <c:v>148.52807117470098</c:v>
                </c:pt>
              </c:numCache>
            </c:numRef>
          </c:val>
          <c:extLst>
            <c:ext xmlns:c16="http://schemas.microsoft.com/office/drawing/2014/chart" uri="{C3380CC4-5D6E-409C-BE32-E72D297353CC}">
              <c16:uniqueId val="{0000000F-A6B0-4078-9E73-ED0CF39E69A6}"/>
            </c:ext>
          </c:extLst>
        </c:ser>
        <c:ser>
          <c:idx val="5"/>
          <c:order val="6"/>
          <c:tx>
            <c:strRef>
              <c:f>'Detailed Cash Flow'!$B$74</c:f>
              <c:strCache>
                <c:ptCount val="1"/>
                <c:pt idx="0">
                  <c:v>O&amp;M</c:v>
                </c:pt>
              </c:strCache>
            </c:strRef>
          </c:tx>
          <c:spPr>
            <a:solidFill>
              <a:schemeClr val="accent6"/>
            </a:solidFill>
            <a:ln>
              <a:noFill/>
            </a:ln>
            <a:effectLst/>
          </c:spPr>
          <c:invertIfNegative val="0"/>
          <c:dLbls>
            <c:dLbl>
              <c:idx val="1"/>
              <c:layout>
                <c:manualLayout>
                  <c:x val="6.3571727310748644E-2"/>
                  <c:y val="-5.828780713926205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B9AA-4C52-AAB1-DF8D3140A1F0}"/>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14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'Key inputs &amp; Outputs'!$J$50:$K$50</c:f>
              <c:numCache>
                <c:formatCode>General</c:formatCode>
                <c:ptCount val="2"/>
              </c:numCache>
            </c:numRef>
          </c:cat>
          <c:val>
            <c:numRef>
              <c:f>'Detailed Cash Flow'!$E$74:$F$74</c:f>
              <c:numCache>
                <c:formatCode>"$"#,##0</c:formatCode>
                <c:ptCount val="2"/>
                <c:pt idx="1">
                  <c:v>90.909090909090978</c:v>
                </c:pt>
              </c:numCache>
            </c:numRef>
          </c:val>
          <c:extLst>
            <c:ext xmlns:c16="http://schemas.microsoft.com/office/drawing/2014/chart" uri="{C3380CC4-5D6E-409C-BE32-E72D297353CC}">
              <c16:uniqueId val="{00000011-A6B0-4078-9E73-ED0CF39E69A6}"/>
            </c:ext>
          </c:extLst>
        </c:ser>
        <c:ser>
          <c:idx val="8"/>
          <c:order val="7"/>
          <c:tx>
            <c:strRef>
              <c:f>'Detailed Cash Flow'!$B$78</c:f>
              <c:strCache>
                <c:ptCount val="1"/>
                <c:pt idx="0">
                  <c:v>Taxes</c:v>
                </c:pt>
              </c:strCache>
            </c:strRef>
          </c:tx>
          <c:spPr>
            <a:solidFill>
              <a:schemeClr val="accent4">
                <a:lumMod val="60000"/>
                <a:lumOff val="40000"/>
              </a:schemeClr>
            </a:solidFill>
            <a:ln>
              <a:noFill/>
            </a:ln>
            <a:effectLst/>
          </c:spPr>
          <c:invertIfNegative val="0"/>
          <c:dLbls>
            <c:dLbl>
              <c:idx val="0"/>
              <c:tx>
                <c:rich>
                  <a:bodyPr/>
                  <a:lstStyle/>
                  <a:p>
                    <a:endParaRPr lang="en-US"/>
                  </a:p>
                </c:rich>
              </c:tx>
              <c:showLegendKey val="0"/>
              <c:showVal val="0"/>
              <c:showCatName val="0"/>
              <c:showSerName val="1"/>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6B0-4078-9E73-ED0CF39E69A6}"/>
                </c:ext>
              </c:extLst>
            </c:dLbl>
            <c:dLbl>
              <c:idx val="1"/>
              <c:tx>
                <c:rich>
                  <a:bodyPr/>
                  <a:lstStyle/>
                  <a:p>
                    <a:fld id="{8D588970-0D8F-40E3-9E5F-3F158CA21670}" type="SERIESNAME">
                      <a:rPr lang="en-US"/>
                      <a:pPr/>
                      <a:t>[SERIES NAME]</a:t>
                    </a:fld>
                    <a:endParaRPr lang="en-US"/>
                  </a:p>
                </c:rich>
              </c:tx>
              <c:showLegendKey val="0"/>
              <c:showVal val="0"/>
              <c:showCatName val="0"/>
              <c:showSerName val="1"/>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6B0-4078-9E73-ED0CF39E69A6}"/>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14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DataLabelsRange val="1"/>
                <c15:showLeaderLines val="0"/>
              </c:ext>
            </c:extLst>
          </c:dLbls>
          <c:cat>
            <c:numRef>
              <c:f>'Key inputs &amp; Outputs'!$J$50:$K$50</c:f>
              <c:numCache>
                <c:formatCode>General</c:formatCode>
                <c:ptCount val="2"/>
              </c:numCache>
            </c:numRef>
          </c:cat>
          <c:val>
            <c:numRef>
              <c:f>'Detailed Cash Flow'!$E$78:$F$78</c:f>
              <c:numCache>
                <c:formatCode>"$"#,##0</c:formatCode>
                <c:ptCount val="2"/>
                <c:pt idx="1">
                  <c:v>48220.566405083424</c:v>
                </c:pt>
              </c:numCache>
            </c:numRef>
          </c:val>
          <c:extLst>
            <c:ext xmlns:c15="http://schemas.microsoft.com/office/drawing/2012/chart" uri="{02D57815-91ED-43cb-92C2-25804820EDAC}">
              <c15:datalabelsRange>
                <c15:f>'Detailed Cash Flow'!$B$78</c15:f>
                <c15:dlblRangeCache>
                  <c:ptCount val="1"/>
                  <c:pt idx="0">
                    <c:v>Taxes</c:v>
                  </c:pt>
                </c15:dlblRangeCache>
              </c15:datalabelsRange>
            </c:ext>
            <c:ext xmlns:c16="http://schemas.microsoft.com/office/drawing/2014/chart" uri="{C3380CC4-5D6E-409C-BE32-E72D297353CC}">
              <c16:uniqueId val="{00000014-A6B0-4078-9E73-ED0CF39E69A6}"/>
            </c:ext>
          </c:extLst>
        </c:ser>
        <c:dLbls>
          <c:showLegendKey val="0"/>
          <c:showVal val="0"/>
          <c:showCatName val="0"/>
          <c:showSerName val="0"/>
          <c:showPercent val="0"/>
          <c:showBubbleSize val="0"/>
        </c:dLbls>
        <c:gapWidth val="50"/>
        <c:overlap val="100"/>
        <c:axId val="536520784"/>
        <c:axId val="536517040"/>
        <c:extLst/>
      </c:barChart>
      <c:catAx>
        <c:axId val="536520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n-US"/>
          </a:p>
        </c:txPr>
        <c:crossAx val="536517040"/>
        <c:crosses val="autoZero"/>
        <c:auto val="1"/>
        <c:lblAlgn val="ctr"/>
        <c:lblOffset val="100"/>
        <c:noMultiLvlLbl val="0"/>
      </c:catAx>
      <c:valAx>
        <c:axId val="53651704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536520784"/>
        <c:crosses val="autoZero"/>
        <c:crossBetween val="between"/>
      </c:valAx>
      <c:spPr>
        <a:noFill/>
        <a:ln>
          <a:noFill/>
        </a:ln>
        <a:effectLst/>
      </c:spPr>
    </c:plotArea>
    <c:plotVisOnly val="1"/>
    <c:dispBlanksAs val="gap"/>
    <c:showDLblsOverMax val="0"/>
  </c:chart>
  <c:spPr>
    <a:solidFill>
      <a:srgbClr val="FFFF99"/>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Impact of a 25% increase in:</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dLbls>
            <c:dLbl>
              <c:idx val="0"/>
              <c:tx>
                <c:rich>
                  <a:bodyPr/>
                  <a:lstStyle/>
                  <a:p>
                    <a:fld id="{787B4148-AB3D-4D45-B2A2-DBFC5327909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39F2-45F7-B2EC-21EB66913996}"/>
                </c:ext>
              </c:extLst>
            </c:dLbl>
            <c:dLbl>
              <c:idx val="1"/>
              <c:tx>
                <c:rich>
                  <a:bodyPr/>
                  <a:lstStyle/>
                  <a:p>
                    <a:fld id="{C21F3EE3-746E-415A-8A93-6BA6F972E4C3}"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39F2-45F7-B2EC-21EB66913996}"/>
                </c:ext>
              </c:extLst>
            </c:dLbl>
            <c:dLbl>
              <c:idx val="2"/>
              <c:tx>
                <c:rich>
                  <a:bodyPr/>
                  <a:lstStyle/>
                  <a:p>
                    <a:fld id="{7144BDCC-9CFF-446F-811F-44AF165BEDF6}"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9F2-45F7-B2EC-21EB66913996}"/>
                </c:ext>
              </c:extLst>
            </c:dLbl>
            <c:dLbl>
              <c:idx val="3"/>
              <c:tx>
                <c:rich>
                  <a:bodyPr/>
                  <a:lstStyle/>
                  <a:p>
                    <a:fld id="{419452A0-4F8C-423A-A02D-930663909CFF}"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9F2-45F7-B2EC-21EB66913996}"/>
                </c:ext>
              </c:extLst>
            </c:dLbl>
            <c:dLbl>
              <c:idx val="4"/>
              <c:tx>
                <c:rich>
                  <a:bodyPr/>
                  <a:lstStyle/>
                  <a:p>
                    <a:fld id="{B8EEE1C9-ABDA-4EA1-A07A-DA2EFE3BDACF}"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9F2-45F7-B2EC-21EB66913996}"/>
                </c:ext>
              </c:extLst>
            </c:dLbl>
            <c:dLbl>
              <c:idx val="5"/>
              <c:tx>
                <c:rich>
                  <a:bodyPr/>
                  <a:lstStyle/>
                  <a:p>
                    <a:fld id="{80CBA911-15CF-4C73-A21A-A92562A9AD24}"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9F2-45F7-B2EC-21EB66913996}"/>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'Financial Inputs'!$S$215:$S$220</c:f>
              <c:numCache>
                <c:formatCode>General</c:formatCode>
                <c:ptCount val="6"/>
              </c:numCache>
            </c:numRef>
          </c:cat>
          <c:val>
            <c:numRef>
              <c:f>'Financial Inputs'!$U$215:$U$220</c:f>
              <c:numCache>
                <c:formatCode>"$"#,##0</c:formatCode>
                <c:ptCount val="6"/>
                <c:pt idx="0">
                  <c:v>0</c:v>
                </c:pt>
                <c:pt idx="1">
                  <c:v>0</c:v>
                </c:pt>
                <c:pt idx="2">
                  <c:v>0</c:v>
                </c:pt>
                <c:pt idx="3">
                  <c:v>0</c:v>
                </c:pt>
                <c:pt idx="4">
                  <c:v>798.65530759570538</c:v>
                </c:pt>
                <c:pt idx="5">
                  <c:v>5916.4388987425773</c:v>
                </c:pt>
              </c:numCache>
            </c:numRef>
          </c:val>
          <c:extLst>
            <c:ext xmlns:c15="http://schemas.microsoft.com/office/drawing/2012/chart" uri="{02D57815-91ED-43cb-92C2-25804820EDAC}">
              <c15:datalabelsRange>
                <c15:f>'Financial Inputs'!$T$215:$T$221</c15:f>
                <c15:dlblRangeCache>
                  <c:ptCount val="7"/>
                  <c:pt idx="0">
                    <c:v>Grant, %</c:v>
                  </c:pt>
                  <c:pt idx="1">
                    <c:v>Grant, %</c:v>
                  </c:pt>
                  <c:pt idx="2">
                    <c:v>Grant, %</c:v>
                  </c:pt>
                  <c:pt idx="3">
                    <c:v>Grant, %</c:v>
                  </c:pt>
                  <c:pt idx="4">
                    <c:v>Useful life, yrs</c:v>
                  </c:pt>
                  <c:pt idx="5">
                    <c:v>Fertilizer, $/yr</c:v>
                  </c:pt>
                </c15:dlblRangeCache>
              </c15:datalabelsRange>
            </c:ext>
            <c:ext xmlns:c16="http://schemas.microsoft.com/office/drawing/2014/chart" uri="{C3380CC4-5D6E-409C-BE32-E72D297353CC}">
              <c16:uniqueId val="{00000008-FB8C-450F-AE30-B0C70F397975}"/>
            </c:ext>
          </c:extLst>
        </c:ser>
        <c:dLbls>
          <c:dLblPos val="outEnd"/>
          <c:showLegendKey val="0"/>
          <c:showVal val="1"/>
          <c:showCatName val="0"/>
          <c:showSerName val="0"/>
          <c:showPercent val="0"/>
          <c:showBubbleSize val="0"/>
        </c:dLbls>
        <c:gapWidth val="182"/>
        <c:axId val="48883520"/>
        <c:axId val="48865216"/>
      </c:barChart>
      <c:catAx>
        <c:axId val="488835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865216"/>
        <c:crossesAt val="0"/>
        <c:auto val="1"/>
        <c:lblAlgn val="ctr"/>
        <c:lblOffset val="100"/>
        <c:noMultiLvlLbl val="0"/>
      </c:catAx>
      <c:valAx>
        <c:axId val="4886521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600"/>
                  <a:t>Change in net present value, annualized</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8883520"/>
        <c:crosses val="autoZero"/>
        <c:crossBetween val="between"/>
      </c:valAx>
      <c:spPr>
        <a:noFill/>
        <a:ln>
          <a:noFill/>
        </a:ln>
        <a:effectLst/>
      </c:spPr>
    </c:plotArea>
    <c:plotVisOnly val="1"/>
    <c:dispBlanksAs val="gap"/>
    <c:showDLblsOverMax val="0"/>
  </c:chart>
  <c:spPr>
    <a:solidFill>
      <a:srgbClr val="FFFF99"/>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1"/>
    </c:title>
    <c:autoTitleDeleted val="0"/>
    <c:plotArea>
      <c:layout/>
      <c:lineChart>
        <c:grouping val="standard"/>
        <c:varyColors val="0"/>
        <c:ser>
          <c:idx val="0"/>
          <c:order val="0"/>
          <c:tx>
            <c:strRef>
              <c:f>'Condensed Cash Flow'!$L$4</c:f>
              <c:strCache>
                <c:ptCount val="1"/>
                <c:pt idx="0">
                  <c:v>Cumulative Cash Flow</c:v>
                </c:pt>
              </c:strCache>
            </c:strRef>
          </c:tx>
          <c:marker>
            <c:symbol val="none"/>
          </c:marker>
          <c:cat>
            <c:numRef>
              <c:f>'Condensed Cash Flow'!$B$6:$B$36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'Condensed Cash Flow'!$L$6:$L$36</c:f>
              <c:numCache>
                <c:formatCode>"$"#,##0_);[Red]\("$"#,##0\)</c:formatCode>
                <c:ptCount val="31"/>
                <c:pt idx="0">
                  <c:v>-7925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84DD-4E06-A24F-5004DB55A205}"/>
            </c:ext>
          </c:extLst>
        </c:ser>
        <c:dLbls>
          <c:showLegendKey val="0"/>
          <c:showVal val="0"/>
          <c:showCatName val="0"/>
          <c:showSerName val="0"/>
          <c:showPercent val="0"/>
          <c:showBubbleSize val="0"/>
        </c:dLbls>
        <c:smooth val="0"/>
        <c:axId val="140104832"/>
        <c:axId val="140757248"/>
      </c:lineChart>
      <c:catAx>
        <c:axId val="140104832"/>
        <c:scaling>
          <c:orientation val="minMax"/>
        </c:scaling>
        <c:delete val="0"/>
        <c:axPos val="b"/>
        <c:title>
          <c:tx>
            <c:rich>
              <a:bodyPr/>
              <a:lstStyle/>
              <a:p>
                <a:pPr>
                  <a:defRPr sz="1100"/>
                </a:pPr>
                <a:r>
                  <a:rPr lang="en-US" sz="1100"/>
                  <a:t>Project Year</a:t>
                </a:r>
              </a:p>
            </c:rich>
          </c:tx>
          <c:overlay val="0"/>
        </c:title>
        <c:numFmt formatCode="General" sourceLinked="1"/>
        <c:majorTickMark val="out"/>
        <c:minorTickMark val="none"/>
        <c:tickLblPos val="nextTo"/>
        <c:crossAx val="140757248"/>
        <c:crosses val="autoZero"/>
        <c:auto val="1"/>
        <c:lblAlgn val="ctr"/>
        <c:lblOffset val="100"/>
        <c:tickLblSkip val="5"/>
        <c:noMultiLvlLbl val="0"/>
      </c:catAx>
      <c:valAx>
        <c:axId val="140757248"/>
        <c:scaling>
          <c:orientation val="minMax"/>
        </c:scaling>
        <c:delete val="0"/>
        <c:axPos val="l"/>
        <c:title>
          <c:tx>
            <c:rich>
              <a:bodyPr rot="-5400000" vert="horz"/>
              <a:lstStyle/>
              <a:p>
                <a:pPr>
                  <a:defRPr sz="1100" b="1"/>
                </a:pPr>
                <a:r>
                  <a:rPr lang="en-US" sz="1100" b="1"/>
                  <a:t>Cumulative Cash Flow ($)</a:t>
                </a:r>
              </a:p>
            </c:rich>
          </c:tx>
          <c:overlay val="0"/>
        </c:title>
        <c:numFmt formatCode="&quot;$&quot;#,##0_);[Red]\(&quot;$&quot;#,##0\)" sourceLinked="1"/>
        <c:majorTickMark val="out"/>
        <c:minorTickMark val="none"/>
        <c:tickLblPos val="nextTo"/>
        <c:crossAx val="140104832"/>
        <c:crosses val="autoZero"/>
        <c:crossBetween val="between"/>
      </c:valAx>
      <c:spPr>
        <a:solidFill>
          <a:srgbClr val="FFFF99"/>
        </a:solidFill>
      </c:spPr>
    </c:plotArea>
    <c:plotVisOnly val="1"/>
    <c:dispBlanksAs val="gap"/>
    <c:showDLblsOverMax val="0"/>
  </c:chart>
  <c:spPr>
    <a:solidFill>
      <a:srgbClr val="FFFF99"/>
    </a:solidFill>
  </c:spPr>
  <c:printSettings>
    <c:headerFooter/>
    <c:pageMargins b="0.7500000000000121" l="0.70000000000000062" r="0.70000000000000062" t="0.750000000000012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Revenue + Tax Benefits / (Liability) v. </a:t>
            </a:r>
          </a:p>
          <a:p>
            <a:pPr>
              <a:defRPr/>
            </a:pPr>
            <a:r>
              <a:rPr lang="en-US"/>
              <a:t>Expenses + Cash Obligations</a:t>
            </a:r>
          </a:p>
        </c:rich>
      </c:tx>
      <c:overlay val="1"/>
    </c:title>
    <c:autoTitleDeleted val="0"/>
    <c:plotArea>
      <c:layout/>
      <c:areaChart>
        <c:grouping val="standard"/>
        <c:varyColors val="0"/>
        <c:ser>
          <c:idx val="1"/>
          <c:order val="1"/>
          <c:tx>
            <c:strRef>
              <c:f>'Condensed Cash Flow'!$Q$4</c:f>
              <c:strCache>
                <c:ptCount val="1"/>
                <c:pt idx="0">
                  <c:v>Expenses + Cash Obligations</c:v>
                </c:pt>
              </c:strCache>
            </c:strRef>
          </c:tx>
          <c:cat>
            <c:numRef>
              <c:f>'Condensed Cash Flow'!$B$6:$B$36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'Condensed Cash Flow'!$Q$6:$Q$36</c:f>
              <c:numCache>
                <c:formatCode>"$"#,##0_);[Red]\("$"#,##0\)</c:formatCode>
                <c:ptCount val="3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7571-4833-BC17-4FE8AA9DE141}"/>
            </c:ext>
          </c:extLst>
        </c:ser>
        <c:dLbls>
          <c:showLegendKey val="0"/>
          <c:showVal val="0"/>
          <c:showCatName val="0"/>
          <c:showSerName val="0"/>
          <c:showPercent val="0"/>
          <c:showBubbleSize val="0"/>
        </c:dLbls>
        <c:axId val="107671936"/>
        <c:axId val="107673856"/>
      </c:areaChart>
      <c:lineChart>
        <c:grouping val="standard"/>
        <c:varyColors val="0"/>
        <c:ser>
          <c:idx val="0"/>
          <c:order val="0"/>
          <c:tx>
            <c:strRef>
              <c:f>'Condensed Cash Flow'!$P$4</c:f>
              <c:strCache>
                <c:ptCount val="1"/>
                <c:pt idx="0">
                  <c:v>Revenue + Tax Benefit/(Liability)</c:v>
                </c:pt>
              </c:strCache>
            </c:strRef>
          </c:tx>
          <c:marker>
            <c:symbol val="none"/>
          </c:marker>
          <c:cat>
            <c:numRef>
              <c:f>'Condensed Cash Flow'!$B$6:$B$36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'Condensed Cash Flow'!$P$6:$P$36</c:f>
              <c:numCache>
                <c:formatCode>"$"#,##0_);[Red]\("$"#,##0\)</c:formatCode>
                <c:ptCount val="3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1-7571-4833-BC17-4FE8AA9DE141}"/>
            </c:ext>
          </c:extLst>
        </c:ser>
        <c:dLbls>
          <c:showLegendKey val="0"/>
          <c:showVal val="0"/>
          <c:showCatName val="0"/>
          <c:showSerName val="0"/>
          <c:showPercent val="0"/>
          <c:showBubbleSize val="0"/>
        </c:dLbls>
        <c:marker val="1"/>
        <c:smooth val="0"/>
        <c:axId val="107671936"/>
        <c:axId val="107673856"/>
      </c:lineChart>
      <c:catAx>
        <c:axId val="107671936"/>
        <c:scaling>
          <c:orientation val="minMax"/>
        </c:scaling>
        <c:delete val="0"/>
        <c:axPos val="b"/>
        <c:title>
          <c:tx>
            <c:rich>
              <a:bodyPr/>
              <a:lstStyle/>
              <a:p>
                <a:pPr>
                  <a:defRPr sz="1100"/>
                </a:pPr>
                <a:r>
                  <a:rPr lang="en-US" sz="1100"/>
                  <a:t>Project Year</a:t>
                </a:r>
              </a:p>
            </c:rich>
          </c:tx>
          <c:overlay val="0"/>
        </c:title>
        <c:numFmt formatCode="General" sourceLinked="1"/>
        <c:majorTickMark val="out"/>
        <c:minorTickMark val="none"/>
        <c:tickLblPos val="nextTo"/>
        <c:crossAx val="107673856"/>
        <c:crosses val="autoZero"/>
        <c:auto val="1"/>
        <c:lblAlgn val="ctr"/>
        <c:lblOffset val="100"/>
        <c:tickLblSkip val="5"/>
        <c:noMultiLvlLbl val="0"/>
      </c:catAx>
      <c:valAx>
        <c:axId val="107673856"/>
        <c:scaling>
          <c:orientation val="minMax"/>
        </c:scaling>
        <c:delete val="0"/>
        <c:axPos val="l"/>
        <c:title>
          <c:tx>
            <c:rich>
              <a:bodyPr rot="-5400000" vert="horz"/>
              <a:lstStyle/>
              <a:p>
                <a:pPr>
                  <a:defRPr sz="1100" b="1"/>
                </a:pPr>
                <a:r>
                  <a:rPr lang="en-US" sz="1100" b="1"/>
                  <a:t>( $)</a:t>
                </a:r>
              </a:p>
            </c:rich>
          </c:tx>
          <c:overlay val="0"/>
        </c:title>
        <c:numFmt formatCode="&quot;$&quot;#,##0" sourceLinked="0"/>
        <c:majorTickMark val="out"/>
        <c:minorTickMark val="none"/>
        <c:tickLblPos val="nextTo"/>
        <c:crossAx val="107671936"/>
        <c:crosses val="autoZero"/>
        <c:crossBetween val="between"/>
      </c:valAx>
      <c:spPr>
        <a:solidFill>
          <a:srgbClr val="FFFF99"/>
        </a:solidFill>
      </c:spPr>
    </c:plotArea>
    <c:legend>
      <c:legendPos val="r"/>
      <c:overlay val="1"/>
    </c:legend>
    <c:plotVisOnly val="1"/>
    <c:dispBlanksAs val="gap"/>
    <c:showDLblsOverMax val="0"/>
  </c:chart>
  <c:spPr>
    <a:solidFill>
      <a:srgbClr val="FFFF99"/>
    </a:solidFill>
  </c:spPr>
  <c:printSettings>
    <c:headerFooter/>
    <c:pageMargins b="0.75000000000001232" l="0.70000000000000062" r="0.70000000000000062" t="0.75000000000001232"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Incremental After-Tax Cash Flow</a:t>
            </a:r>
          </a:p>
        </c:rich>
      </c:tx>
      <c:overlay val="1"/>
    </c:title>
    <c:autoTitleDeleted val="0"/>
    <c:plotArea>
      <c:layout/>
      <c:barChart>
        <c:barDir val="col"/>
        <c:grouping val="clustered"/>
        <c:varyColors val="0"/>
        <c:ser>
          <c:idx val="0"/>
          <c:order val="0"/>
          <c:tx>
            <c:strRef>
              <c:f>'Condensed Cash Flow'!$K$4</c:f>
              <c:strCache>
                <c:ptCount val="1"/>
                <c:pt idx="0">
                  <c:v>After Tax Cash Flow</c:v>
                </c:pt>
              </c:strCache>
            </c:strRef>
          </c:tx>
          <c:invertIfNegative val="0"/>
          <c:cat>
            <c:numRef>
              <c:f>'Condensed Cash Flow'!$B$6:$B$36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'Condensed Cash Flow'!$K$6:$K$36</c:f>
              <c:numCache>
                <c:formatCode>"$"#,##0_);[Red]\("$"#,##0\)</c:formatCode>
                <c:ptCount val="31"/>
                <c:pt idx="0">
                  <c:v>-7925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DCFF-4DA9-A609-33423CE4E35F}"/>
            </c:ext>
          </c:extLst>
        </c:ser>
        <c:dLbls>
          <c:showLegendKey val="0"/>
          <c:showVal val="0"/>
          <c:showCatName val="0"/>
          <c:showSerName val="0"/>
          <c:showPercent val="0"/>
          <c:showBubbleSize val="0"/>
        </c:dLbls>
        <c:gapWidth val="150"/>
        <c:axId val="140104832"/>
        <c:axId val="140757248"/>
      </c:barChart>
      <c:catAx>
        <c:axId val="140104832"/>
        <c:scaling>
          <c:orientation val="minMax"/>
        </c:scaling>
        <c:delete val="0"/>
        <c:axPos val="b"/>
        <c:title>
          <c:tx>
            <c:rich>
              <a:bodyPr/>
              <a:lstStyle/>
              <a:p>
                <a:pPr>
                  <a:defRPr sz="1100"/>
                </a:pPr>
                <a:r>
                  <a:rPr lang="en-US" sz="1100"/>
                  <a:t>Project Year</a:t>
                </a:r>
              </a:p>
            </c:rich>
          </c:tx>
          <c:overlay val="0"/>
        </c:title>
        <c:numFmt formatCode="General" sourceLinked="1"/>
        <c:majorTickMark val="out"/>
        <c:minorTickMark val="none"/>
        <c:tickLblPos val="nextTo"/>
        <c:crossAx val="140757248"/>
        <c:crosses val="autoZero"/>
        <c:auto val="1"/>
        <c:lblAlgn val="ctr"/>
        <c:lblOffset val="100"/>
        <c:noMultiLvlLbl val="0"/>
      </c:catAx>
      <c:valAx>
        <c:axId val="140757248"/>
        <c:scaling>
          <c:orientation val="minMax"/>
        </c:scaling>
        <c:delete val="0"/>
        <c:axPos val="l"/>
        <c:title>
          <c:tx>
            <c:rich>
              <a:bodyPr rot="-5400000" vert="horz"/>
              <a:lstStyle/>
              <a:p>
                <a:pPr>
                  <a:defRPr sz="1100" b="1"/>
                </a:pPr>
                <a:r>
                  <a:rPr lang="en-US" sz="1100" b="1"/>
                  <a:t>Cumulative Cash Flow ($)</a:t>
                </a:r>
              </a:p>
            </c:rich>
          </c:tx>
          <c:overlay val="0"/>
        </c:title>
        <c:numFmt formatCode="&quot;$&quot;#,##0_);[Red]\(&quot;$&quot;#,##0\)" sourceLinked="1"/>
        <c:majorTickMark val="out"/>
        <c:minorTickMark val="none"/>
        <c:tickLblPos val="nextTo"/>
        <c:crossAx val="140104832"/>
        <c:crosses val="autoZero"/>
        <c:crossBetween val="between"/>
      </c:valAx>
      <c:spPr>
        <a:solidFill>
          <a:srgbClr val="FFFF99"/>
        </a:solidFill>
      </c:spPr>
    </c:plotArea>
    <c:plotVisOnly val="1"/>
    <c:dispBlanksAs val="gap"/>
    <c:showDLblsOverMax val="0"/>
  </c:chart>
  <c:spPr>
    <a:solidFill>
      <a:srgbClr val="FFFF99"/>
    </a:solidFill>
  </c:spPr>
  <c:printSettings>
    <c:headerFooter/>
    <c:pageMargins b="0.7500000000000121" l="0.70000000000000062" r="0.70000000000000062" t="0.7500000000000121"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2</xdr:col>
      <xdr:colOff>289212</xdr:colOff>
      <xdr:row>48</xdr:row>
      <xdr:rowOff>84858</xdr:rowOff>
    </xdr:from>
    <xdr:to>
      <xdr:col>10</xdr:col>
      <xdr:colOff>153957</xdr:colOff>
      <xdr:row>52</xdr:row>
      <xdr:rowOff>75333</xdr:rowOff>
    </xdr:to>
    <xdr:pic>
      <xdr:nvPicPr>
        <xdr:cNvPr id="3" name="Picture 2">
          <a:extLst>
            <a:ext uri="{FF2B5EF4-FFF2-40B4-BE49-F238E27FC236}">
              <a16:creationId xmlns:a16="http://schemas.microsoft.com/office/drawing/2014/main" id="{F84C5EF0-2A6D-4B68-BF7E-9C74C2E48A4B}"/>
            </a:ext>
          </a:extLst>
        </xdr:cNvPr>
        <xdr:cNvPicPr>
          <a:picLocks noChangeAspect="1"/>
        </xdr:cNvPicPr>
      </xdr:nvPicPr>
      <xdr:blipFill rotWithShape="1">
        <a:blip xmlns:r="http://schemas.openxmlformats.org/officeDocument/2006/relationships" r:embed="rId1"/>
        <a:srcRect t="11544" b="15349"/>
        <a:stretch/>
      </xdr:blipFill>
      <xdr:spPr>
        <a:xfrm>
          <a:off x="1501485" y="7176653"/>
          <a:ext cx="4713836" cy="717839"/>
        </a:xfrm>
        <a:prstGeom prst="rect">
          <a:avLst/>
        </a:prstGeom>
      </xdr:spPr>
    </xdr:pic>
    <xdr:clientData/>
  </xdr:twoCellAnchor>
  <xdr:twoCellAnchor editAs="oneCell">
    <xdr:from>
      <xdr:col>2</xdr:col>
      <xdr:colOff>181444</xdr:colOff>
      <xdr:row>55</xdr:row>
      <xdr:rowOff>47625</xdr:rowOff>
    </xdr:from>
    <xdr:to>
      <xdr:col>7</xdr:col>
      <xdr:colOff>314325</xdr:colOff>
      <xdr:row>61</xdr:row>
      <xdr:rowOff>153963</xdr:rowOff>
    </xdr:to>
    <xdr:pic>
      <xdr:nvPicPr>
        <xdr:cNvPr id="9" name="Picture 8">
          <a:extLst>
            <a:ext uri="{FF2B5EF4-FFF2-40B4-BE49-F238E27FC236}">
              <a16:creationId xmlns:a16="http://schemas.microsoft.com/office/drawing/2014/main" id="{87A9B6D5-C593-4D40-991C-3B79CD01A51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43494" y="11096625"/>
          <a:ext cx="3038006" cy="1249338"/>
        </a:xfrm>
        <a:prstGeom prst="rect">
          <a:avLst/>
        </a:prstGeom>
      </xdr:spPr>
    </xdr:pic>
    <xdr:clientData/>
  </xdr:twoCellAnchor>
  <xdr:oneCellAnchor>
    <xdr:from>
      <xdr:col>1</xdr:col>
      <xdr:colOff>19050</xdr:colOff>
      <xdr:row>10</xdr:row>
      <xdr:rowOff>104774</xdr:rowOff>
    </xdr:from>
    <xdr:ext cx="7486650" cy="7096125"/>
    <xdr:sp macro="" textlink="">
      <xdr:nvSpPr>
        <xdr:cNvPr id="11" name="TextBox 10">
          <a:extLst>
            <a:ext uri="{FF2B5EF4-FFF2-40B4-BE49-F238E27FC236}">
              <a16:creationId xmlns:a16="http://schemas.microsoft.com/office/drawing/2014/main" id="{E8D66221-6992-19DA-AA12-F84F5C74F2F3}"/>
            </a:ext>
          </a:extLst>
        </xdr:cNvPr>
        <xdr:cNvSpPr txBox="1"/>
      </xdr:nvSpPr>
      <xdr:spPr>
        <a:xfrm>
          <a:off x="600075" y="2009774"/>
          <a:ext cx="7486650" cy="7096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a:solidFill>
                <a:schemeClr val="tx1"/>
              </a:solidFill>
              <a:effectLst/>
              <a:latin typeface="+mn-lt"/>
              <a:ea typeface="+mn-ea"/>
              <a:cs typeface="+mn-cs"/>
            </a:rPr>
            <a:t>This spreadsheet tool has been designed to assist stakeholders to evaluate the economics of a farm-based anaerobic digester utilizing manure as the main feedstock but with additions of food waste and warm season grasses, and</a:t>
          </a:r>
          <a:r>
            <a:rPr lang="en-US" sz="1200" baseline="0">
              <a:solidFill>
                <a:schemeClr val="tx1"/>
              </a:solidFill>
              <a:effectLst/>
              <a:latin typeface="+mn-lt"/>
              <a:ea typeface="+mn-ea"/>
              <a:cs typeface="+mn-cs"/>
            </a:rPr>
            <a:t> generating electricity from the biogas</a:t>
          </a:r>
          <a:r>
            <a:rPr lang="en-US" sz="1200">
              <a:solidFill>
                <a:schemeClr val="tx1"/>
              </a:solidFill>
              <a:effectLst/>
              <a:latin typeface="+mn-lt"/>
              <a:ea typeface="+mn-ea"/>
              <a:cs typeface="+mn-cs"/>
            </a:rPr>
            <a:t>.  </a:t>
          </a:r>
        </a:p>
        <a:p>
          <a:endParaRPr lang="en-US" sz="1200">
            <a:solidFill>
              <a:schemeClr val="tx1"/>
            </a:solidFill>
            <a:effectLst/>
            <a:latin typeface="+mn-lt"/>
            <a:ea typeface="+mn-ea"/>
            <a:cs typeface="+mn-cs"/>
          </a:endParaRPr>
        </a:p>
        <a:p>
          <a:r>
            <a:rPr lang="en-US" sz="1200">
              <a:solidFill>
                <a:schemeClr val="tx1"/>
              </a:solidFill>
              <a:effectLst/>
              <a:latin typeface="+mn-lt"/>
              <a:ea typeface="+mn-ea"/>
              <a:cs typeface="+mn-cs"/>
            </a:rPr>
            <a:t>There are 14 visible sheets.  The tabs are color-coded.  Yellow</a:t>
          </a:r>
          <a:r>
            <a:rPr lang="en-US" sz="1200" baseline="0">
              <a:solidFill>
                <a:schemeClr val="tx1"/>
              </a:solidFill>
              <a:effectLst/>
              <a:latin typeface="+mn-lt"/>
              <a:ea typeface="+mn-ea"/>
              <a:cs typeface="+mn-cs"/>
            </a:rPr>
            <a:t> tabs are for data entry.  Green tabs are for data entry for the switchgrass calculations.  Grey tabs contain calculations.  The sheets are</a:t>
          </a:r>
          <a:r>
            <a:rPr lang="en-US" sz="1200">
              <a:solidFill>
                <a:schemeClr val="tx1"/>
              </a:solidFill>
              <a:effectLst/>
              <a:latin typeface="+mn-lt"/>
              <a:ea typeface="+mn-ea"/>
              <a:cs typeface="+mn-cs"/>
            </a:rPr>
            <a:t>:</a:t>
          </a:r>
        </a:p>
        <a:p>
          <a:r>
            <a:rPr lang="en-US" sz="1200" b="1" u="sng">
              <a:solidFill>
                <a:schemeClr val="tx1"/>
              </a:solidFill>
              <a:effectLst/>
              <a:latin typeface="+mn-lt"/>
              <a:ea typeface="+mn-ea"/>
              <a:cs typeface="+mn-cs"/>
            </a:rPr>
            <a:t>Welcome </a:t>
          </a:r>
          <a:r>
            <a:rPr lang="en-US" sz="1200" b="0" u="none" baseline="0">
              <a:solidFill>
                <a:schemeClr val="tx1"/>
              </a:solidFill>
              <a:effectLst/>
              <a:latin typeface="+mn-lt"/>
              <a:ea typeface="+mn-ea"/>
              <a:cs typeface="+mn-cs"/>
            </a:rPr>
            <a:t> (</a:t>
          </a:r>
          <a:r>
            <a:rPr lang="en-US" sz="1200" b="0" u="none">
              <a:solidFill>
                <a:schemeClr val="tx1"/>
              </a:solidFill>
              <a:effectLst/>
              <a:latin typeface="+mn-lt"/>
              <a:ea typeface="+mn-ea"/>
              <a:cs typeface="+mn-cs"/>
            </a:rPr>
            <a:t>where you are now)</a:t>
          </a:r>
        </a:p>
        <a:p>
          <a:r>
            <a:rPr lang="en-US" sz="1200" b="1" i="0" u="sng">
              <a:solidFill>
                <a:schemeClr val="tx1"/>
              </a:solidFill>
              <a:effectLst/>
              <a:latin typeface="+mn-lt"/>
              <a:ea typeface="+mn-ea"/>
              <a:cs typeface="+mn-cs"/>
            </a:rPr>
            <a:t>Background</a:t>
          </a:r>
          <a:r>
            <a:rPr lang="en-US" sz="1200" b="0" u="none">
              <a:solidFill>
                <a:schemeClr val="tx1"/>
              </a:solidFill>
              <a:effectLst/>
              <a:latin typeface="+mn-lt"/>
              <a:ea typeface="+mn-ea"/>
              <a:cs typeface="+mn-cs"/>
            </a:rPr>
            <a:t> - authorship</a:t>
          </a:r>
          <a:r>
            <a:rPr lang="en-US" sz="1200" b="0" u="none" baseline="0">
              <a:solidFill>
                <a:schemeClr val="tx1"/>
              </a:solidFill>
              <a:effectLst/>
              <a:latin typeface="+mn-lt"/>
              <a:ea typeface="+mn-ea"/>
              <a:cs typeface="+mn-cs"/>
            </a:rPr>
            <a:t>, version number, and related information</a:t>
          </a:r>
          <a:endParaRPr lang="en-US" sz="1200" b="0" u="none">
            <a:solidFill>
              <a:schemeClr val="tx1"/>
            </a:solidFill>
            <a:effectLst/>
            <a:latin typeface="+mn-lt"/>
            <a:ea typeface="+mn-ea"/>
            <a:cs typeface="+mn-cs"/>
          </a:endParaRPr>
        </a:p>
        <a:p>
          <a:r>
            <a:rPr lang="en-US" sz="1200" b="1" u="sng">
              <a:solidFill>
                <a:schemeClr val="tx1"/>
              </a:solidFill>
              <a:effectLst/>
              <a:latin typeface="+mn-lt"/>
              <a:ea typeface="+mn-ea"/>
              <a:cs typeface="+mn-cs"/>
            </a:rPr>
            <a:t>Key inputs &amp; outputs </a:t>
          </a:r>
          <a:r>
            <a:rPr lang="en-US" sz="1200" b="0" u="none">
              <a:solidFill>
                <a:schemeClr val="tx1"/>
              </a:solidFill>
              <a:effectLst/>
              <a:latin typeface="+mn-lt"/>
              <a:ea typeface="+mn-ea"/>
              <a:cs typeface="+mn-cs"/>
            </a:rPr>
            <a:t>- starting</a:t>
          </a:r>
          <a:r>
            <a:rPr lang="en-US" sz="1200" b="0" u="none" baseline="0">
              <a:solidFill>
                <a:schemeClr val="tx1"/>
              </a:solidFill>
              <a:effectLst/>
              <a:latin typeface="+mn-lt"/>
              <a:ea typeface="+mn-ea"/>
              <a:cs typeface="+mn-cs"/>
            </a:rPr>
            <a:t> point for a digester generating electricity from manure alone or with food wastes</a:t>
          </a:r>
          <a:endParaRPr lang="en-US" sz="1200" b="0" u="none">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1" u="sng">
              <a:solidFill>
                <a:schemeClr val="tx1"/>
              </a:solidFill>
              <a:effectLst/>
              <a:latin typeface="+mn-lt"/>
              <a:ea typeface="+mn-ea"/>
              <a:cs typeface="+mn-cs"/>
            </a:rPr>
            <a:t>Financial inputs</a:t>
          </a:r>
          <a:r>
            <a:rPr lang="en-US" sz="1200" b="0" u="none">
              <a:solidFill>
                <a:schemeClr val="tx1"/>
              </a:solidFill>
              <a:effectLst/>
              <a:latin typeface="+mn-lt"/>
              <a:ea typeface="+mn-ea"/>
              <a:cs typeface="+mn-cs"/>
            </a:rPr>
            <a:t> - </a:t>
          </a:r>
          <a:r>
            <a:rPr lang="en-US" sz="1200" b="0">
              <a:solidFill>
                <a:schemeClr val="tx1"/>
              </a:solidFill>
              <a:effectLst/>
              <a:latin typeface="+mn-lt"/>
              <a:ea typeface="+mn-ea"/>
              <a:cs typeface="+mn-cs"/>
            </a:rPr>
            <a:t>see the extra inputs in this sheet to finetune</a:t>
          </a:r>
          <a:r>
            <a:rPr lang="en-US" sz="1200" b="0" baseline="0">
              <a:solidFill>
                <a:schemeClr val="tx1"/>
              </a:solidFill>
              <a:effectLst/>
              <a:latin typeface="+mn-lt"/>
              <a:ea typeface="+mn-ea"/>
              <a:cs typeface="+mn-cs"/>
            </a:rPr>
            <a:t> the analysis</a:t>
          </a:r>
        </a:p>
        <a:p>
          <a:pPr marL="0" marR="0" lvl="0" indent="0" defTabSz="914400" eaLnBrk="1" fontAlgn="auto" latinLnBrk="0" hangingPunct="1">
            <a:lnSpc>
              <a:spcPct val="100000"/>
            </a:lnSpc>
            <a:spcBef>
              <a:spcPts val="0"/>
            </a:spcBef>
            <a:spcAft>
              <a:spcPts val="0"/>
            </a:spcAft>
            <a:buClrTx/>
            <a:buSzTx/>
            <a:buFontTx/>
            <a:buNone/>
            <a:tabLst/>
            <a:defRPr/>
          </a:pPr>
          <a:r>
            <a:rPr lang="en-US" sz="1200" b="1" u="sng" baseline="0">
              <a:solidFill>
                <a:schemeClr val="tx1"/>
              </a:solidFill>
              <a:effectLst/>
              <a:latin typeface="+mn-lt"/>
              <a:ea typeface="+mn-ea"/>
              <a:cs typeface="+mn-cs"/>
            </a:rPr>
            <a:t>Nutrient inputs</a:t>
          </a:r>
          <a:r>
            <a:rPr lang="en-US" sz="1100" b="1" u="sng">
              <a:solidFill>
                <a:schemeClr val="tx1"/>
              </a:solidFill>
              <a:effectLst/>
              <a:latin typeface="+mn-lt"/>
              <a:ea typeface="+mn-ea"/>
              <a:cs typeface="+mn-cs"/>
            </a:rPr>
            <a:t>- </a:t>
          </a:r>
          <a:r>
            <a:rPr lang="en-US" sz="1100" b="0">
              <a:solidFill>
                <a:schemeClr val="tx1"/>
              </a:solidFill>
              <a:effectLst/>
              <a:latin typeface="+mn-lt"/>
              <a:ea typeface="+mn-ea"/>
              <a:cs typeface="+mn-cs"/>
            </a:rPr>
            <a:t>see the extra inputs in this sheet to finetune</a:t>
          </a:r>
          <a:r>
            <a:rPr lang="en-US" sz="1100" b="0" baseline="0">
              <a:solidFill>
                <a:schemeClr val="tx1"/>
              </a:solidFill>
              <a:effectLst/>
              <a:latin typeface="+mn-lt"/>
              <a:ea typeface="+mn-ea"/>
              <a:cs typeface="+mn-cs"/>
            </a:rPr>
            <a:t> the analysis</a:t>
          </a:r>
        </a:p>
        <a:p>
          <a:r>
            <a:rPr lang="en-US" sz="1200" b="1" u="sng">
              <a:solidFill>
                <a:schemeClr val="tx1"/>
              </a:solidFill>
              <a:effectLst/>
              <a:latin typeface="+mn-lt"/>
              <a:ea typeface="+mn-ea"/>
              <a:cs typeface="+mn-cs"/>
            </a:rPr>
            <a:t>Switchgrass_Key_Inputs</a:t>
          </a:r>
          <a:r>
            <a:rPr lang="en-US" sz="1200" b="0">
              <a:solidFill>
                <a:schemeClr val="tx1"/>
              </a:solidFill>
              <a:effectLst/>
              <a:latin typeface="+mn-lt"/>
              <a:ea typeface="+mn-ea"/>
              <a:cs typeface="+mn-cs"/>
            </a:rPr>
            <a:t> </a:t>
          </a:r>
          <a:r>
            <a:rPr lang="en-US" sz="1100" b="0">
              <a:solidFill>
                <a:schemeClr val="tx1"/>
              </a:solidFill>
              <a:effectLst/>
              <a:latin typeface="+mn-lt"/>
              <a:ea typeface="+mn-ea"/>
              <a:cs typeface="+mn-cs"/>
            </a:rPr>
            <a:t>- extra</a:t>
          </a:r>
          <a:r>
            <a:rPr lang="en-US" sz="1100" b="0" baseline="0">
              <a:solidFill>
                <a:schemeClr val="tx1"/>
              </a:solidFill>
              <a:effectLst/>
              <a:latin typeface="+mn-lt"/>
              <a:ea typeface="+mn-ea"/>
              <a:cs typeface="+mn-cs"/>
            </a:rPr>
            <a:t> inputs for the cost of growing switchgrass as an extra feedstock</a:t>
          </a:r>
          <a:endParaRPr lang="en-US">
            <a:effectLst/>
          </a:endParaRPr>
        </a:p>
        <a:p>
          <a:r>
            <a:rPr lang="en-US" sz="1200" b="1" u="sng">
              <a:solidFill>
                <a:schemeClr val="tx1"/>
              </a:solidFill>
              <a:effectLst/>
              <a:latin typeface="+mn-lt"/>
              <a:ea typeface="+mn-ea"/>
              <a:cs typeface="+mn-cs"/>
            </a:rPr>
            <a:t>Switchgrass_Budget</a:t>
          </a:r>
          <a:r>
            <a:rPr lang="en-US" sz="1200" b="0">
              <a:solidFill>
                <a:schemeClr val="tx1"/>
              </a:solidFill>
              <a:effectLst/>
              <a:latin typeface="+mn-lt"/>
              <a:ea typeface="+mn-ea"/>
              <a:cs typeface="+mn-cs"/>
            </a:rPr>
            <a:t> </a:t>
          </a:r>
          <a:r>
            <a:rPr lang="en-US" sz="1100" b="0">
              <a:solidFill>
                <a:schemeClr val="tx1"/>
              </a:solidFill>
              <a:effectLst/>
              <a:latin typeface="+mn-lt"/>
              <a:ea typeface="+mn-ea"/>
              <a:cs typeface="+mn-cs"/>
            </a:rPr>
            <a:t>- crop input quantities</a:t>
          </a:r>
          <a:r>
            <a:rPr lang="en-US" sz="1100" b="0" baseline="0">
              <a:solidFill>
                <a:schemeClr val="tx1"/>
              </a:solidFill>
              <a:effectLst/>
              <a:latin typeface="+mn-lt"/>
              <a:ea typeface="+mn-ea"/>
              <a:cs typeface="+mn-cs"/>
            </a:rPr>
            <a:t> and prices related to growing and harvesting switchgrass</a:t>
          </a:r>
        </a:p>
        <a:p>
          <a:pPr marL="0" marR="0" lvl="0" indent="0" defTabSz="914400" eaLnBrk="1" fontAlgn="auto" latinLnBrk="0" hangingPunct="1">
            <a:lnSpc>
              <a:spcPct val="100000"/>
            </a:lnSpc>
            <a:spcBef>
              <a:spcPts val="0"/>
            </a:spcBef>
            <a:spcAft>
              <a:spcPts val="0"/>
            </a:spcAft>
            <a:buClrTx/>
            <a:buSzTx/>
            <a:buFontTx/>
            <a:buNone/>
            <a:tabLst/>
            <a:defRPr/>
          </a:pPr>
          <a:r>
            <a:rPr lang="en-US" sz="1200" b="1" u="sng">
              <a:solidFill>
                <a:schemeClr val="tx1"/>
              </a:solidFill>
              <a:effectLst/>
              <a:latin typeface="+mn-lt"/>
              <a:ea typeface="+mn-ea"/>
              <a:cs typeface="+mn-cs"/>
            </a:rPr>
            <a:t>Sensitivity analysis</a:t>
          </a:r>
          <a:r>
            <a:rPr lang="en-US" sz="1200" b="0">
              <a:solidFill>
                <a:schemeClr val="tx1"/>
              </a:solidFill>
              <a:effectLst/>
              <a:latin typeface="+mn-lt"/>
              <a:ea typeface="+mn-ea"/>
              <a:cs typeface="+mn-cs"/>
            </a:rPr>
            <a:t> </a:t>
          </a:r>
          <a:r>
            <a:rPr lang="en-US" sz="1100" b="0">
              <a:solidFill>
                <a:schemeClr val="tx1"/>
              </a:solidFill>
              <a:effectLst/>
              <a:latin typeface="+mn-lt"/>
              <a:ea typeface="+mn-ea"/>
              <a:cs typeface="+mn-cs"/>
            </a:rPr>
            <a:t>- graphs and a few tables showing the sensitivity</a:t>
          </a:r>
          <a:r>
            <a:rPr lang="en-US" sz="1100" b="0" baseline="0">
              <a:solidFill>
                <a:schemeClr val="tx1"/>
              </a:solidFill>
              <a:effectLst/>
              <a:latin typeface="+mn-lt"/>
              <a:ea typeface="+mn-ea"/>
              <a:cs typeface="+mn-cs"/>
            </a:rPr>
            <a:t> to key inputs</a:t>
          </a:r>
          <a:endParaRPr lang="en-US" sz="1200" b="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1" u="sng">
              <a:solidFill>
                <a:schemeClr val="tx1"/>
              </a:solidFill>
              <a:effectLst/>
              <a:latin typeface="+mn-lt"/>
              <a:ea typeface="+mn-ea"/>
              <a:cs typeface="+mn-cs"/>
            </a:rPr>
            <a:t>Saved scenarios</a:t>
          </a:r>
          <a:r>
            <a:rPr lang="en-US" sz="1200" b="0">
              <a:solidFill>
                <a:schemeClr val="tx1"/>
              </a:solidFill>
              <a:effectLst/>
              <a:latin typeface="+mn-lt"/>
              <a:ea typeface="+mn-ea"/>
              <a:cs typeface="+mn-cs"/>
            </a:rPr>
            <a:t> </a:t>
          </a:r>
          <a:r>
            <a:rPr lang="en-US" sz="1100" b="0">
              <a:solidFill>
                <a:schemeClr val="tx1"/>
              </a:solidFill>
              <a:effectLst/>
              <a:latin typeface="+mn-lt"/>
              <a:ea typeface="+mn-ea"/>
              <a:cs typeface="+mn-cs"/>
            </a:rPr>
            <a:t>- manually copy and paste</a:t>
          </a:r>
          <a:r>
            <a:rPr lang="en-US" sz="1100" b="0" baseline="0">
              <a:solidFill>
                <a:schemeClr val="tx1"/>
              </a:solidFill>
              <a:effectLst/>
              <a:latin typeface="+mn-lt"/>
              <a:ea typeface="+mn-ea"/>
              <a:cs typeface="+mn-cs"/>
            </a:rPr>
            <a:t> the results into the additional columns for side-by-side comparisons</a:t>
          </a:r>
          <a:endParaRPr lang="en-US" sz="1200" b="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1" u="sng" baseline="0">
              <a:solidFill>
                <a:schemeClr val="tx1"/>
              </a:solidFill>
              <a:effectLst/>
              <a:latin typeface="+mn-lt"/>
              <a:ea typeface="+mn-ea"/>
              <a:cs typeface="+mn-cs"/>
            </a:rPr>
            <a:t>N_Availability </a:t>
          </a:r>
          <a:r>
            <a:rPr lang="en-US" sz="1200" b="0" u="none" baseline="0">
              <a:solidFill>
                <a:schemeClr val="tx1"/>
              </a:solidFill>
              <a:effectLst/>
              <a:latin typeface="+mn-lt"/>
              <a:ea typeface="+mn-ea"/>
              <a:cs typeface="+mn-cs"/>
            </a:rPr>
            <a:t>- Table 1.2-12 from the 2023-24 PSU Agronomy Guide with N availability default values</a:t>
          </a:r>
          <a:endParaRPr lang="en-US" sz="1200" b="0" u="none">
            <a:solidFill>
              <a:schemeClr val="tx1"/>
            </a:solidFill>
            <a:effectLst/>
            <a:latin typeface="+mn-lt"/>
            <a:ea typeface="+mn-ea"/>
            <a:cs typeface="+mn-cs"/>
          </a:endParaRPr>
        </a:p>
        <a:p>
          <a:r>
            <a:rPr lang="en-US" sz="1200" b="1" u="sng">
              <a:solidFill>
                <a:schemeClr val="tx1"/>
              </a:solidFill>
              <a:effectLst/>
              <a:latin typeface="+mn-lt"/>
              <a:ea typeface="+mn-ea"/>
              <a:cs typeface="+mn-cs"/>
            </a:rPr>
            <a:t>Condensed cash flow</a:t>
          </a:r>
          <a:r>
            <a:rPr lang="en-US" sz="1200" b="0" u="none">
              <a:solidFill>
                <a:schemeClr val="tx1"/>
              </a:solidFill>
              <a:effectLst/>
              <a:latin typeface="+mn-lt"/>
              <a:ea typeface="+mn-ea"/>
              <a:cs typeface="+mn-cs"/>
            </a:rPr>
            <a:t> - inflows</a:t>
          </a:r>
          <a:r>
            <a:rPr lang="en-US" sz="1200" b="0" u="none" baseline="0">
              <a:solidFill>
                <a:schemeClr val="tx1"/>
              </a:solidFill>
              <a:effectLst/>
              <a:latin typeface="+mn-lt"/>
              <a:ea typeface="+mn-ea"/>
              <a:cs typeface="+mn-cs"/>
            </a:rPr>
            <a:t> and outflows with graphs</a:t>
          </a:r>
        </a:p>
        <a:p>
          <a:pPr marL="0" marR="0" lvl="0" indent="0" defTabSz="914400" eaLnBrk="1" fontAlgn="auto" latinLnBrk="0" hangingPunct="1">
            <a:lnSpc>
              <a:spcPct val="100000"/>
            </a:lnSpc>
            <a:spcBef>
              <a:spcPts val="0"/>
            </a:spcBef>
            <a:spcAft>
              <a:spcPts val="0"/>
            </a:spcAft>
            <a:buClrTx/>
            <a:buSzTx/>
            <a:buFontTx/>
            <a:buNone/>
            <a:tabLst/>
            <a:defRPr/>
          </a:pPr>
          <a:r>
            <a:rPr lang="en-US" sz="1200" b="1" u="sng">
              <a:solidFill>
                <a:schemeClr val="tx1"/>
              </a:solidFill>
              <a:effectLst/>
              <a:latin typeface="+mn-lt"/>
              <a:ea typeface="+mn-ea"/>
              <a:cs typeface="+mn-cs"/>
            </a:rPr>
            <a:t>Detailed cash flow</a:t>
          </a:r>
          <a:r>
            <a:rPr lang="en-US" sz="1200" b="0" u="none">
              <a:solidFill>
                <a:schemeClr val="tx1"/>
              </a:solidFill>
              <a:effectLst/>
              <a:latin typeface="+mn-lt"/>
              <a:ea typeface="+mn-ea"/>
              <a:cs typeface="+mn-cs"/>
            </a:rPr>
            <a:t> - </a:t>
          </a:r>
          <a:r>
            <a:rPr lang="en-US" sz="1200" b="0">
              <a:solidFill>
                <a:schemeClr val="tx1"/>
              </a:solidFill>
              <a:effectLst/>
              <a:latin typeface="+mn-lt"/>
              <a:ea typeface="+mn-ea"/>
              <a:cs typeface="+mn-cs"/>
            </a:rPr>
            <a:t>inflows and outflows with supporting operational and financial information</a:t>
          </a:r>
          <a:endParaRPr lang="en-US" sz="1200" b="0" u="none">
            <a:solidFill>
              <a:schemeClr val="tx1"/>
            </a:solidFill>
            <a:effectLst/>
            <a:latin typeface="+mn-lt"/>
            <a:ea typeface="+mn-ea"/>
            <a:cs typeface="+mn-cs"/>
          </a:endParaRPr>
        </a:p>
        <a:p>
          <a:r>
            <a:rPr lang="en-US" sz="1200" b="1" u="sng" baseline="0">
              <a:solidFill>
                <a:schemeClr val="tx1"/>
              </a:solidFill>
              <a:effectLst/>
              <a:latin typeface="+mn-lt"/>
              <a:ea typeface="+mn-ea"/>
              <a:cs typeface="+mn-cs"/>
            </a:rPr>
            <a:t>Nutrient chart </a:t>
          </a:r>
          <a:r>
            <a:rPr lang="en-US" sz="1200" b="0" u="none" baseline="0">
              <a:solidFill>
                <a:schemeClr val="tx1"/>
              </a:solidFill>
              <a:effectLst/>
              <a:latin typeface="+mn-lt"/>
              <a:ea typeface="+mn-ea"/>
              <a:cs typeface="+mn-cs"/>
            </a:rPr>
            <a:t>- flow chart of the nutrient flows, and table showing the nutrient valuation calculations</a:t>
          </a:r>
        </a:p>
        <a:p>
          <a:pPr marL="0" marR="0" lvl="0" indent="0" defTabSz="914400" eaLnBrk="1" fontAlgn="auto" latinLnBrk="0" hangingPunct="1">
            <a:lnSpc>
              <a:spcPct val="100000"/>
            </a:lnSpc>
            <a:spcBef>
              <a:spcPts val="0"/>
            </a:spcBef>
            <a:spcAft>
              <a:spcPts val="0"/>
            </a:spcAft>
            <a:buClrTx/>
            <a:buSzTx/>
            <a:buFontTx/>
            <a:buNone/>
            <a:tabLst/>
            <a:defRPr/>
          </a:pPr>
          <a:r>
            <a:rPr lang="en-US" sz="1200" b="1" u="sng">
              <a:solidFill>
                <a:schemeClr val="tx1"/>
              </a:solidFill>
              <a:effectLst/>
              <a:latin typeface="+mn-lt"/>
              <a:ea typeface="+mn-ea"/>
              <a:cs typeface="+mn-cs"/>
            </a:rPr>
            <a:t>Nutrient calculations</a:t>
          </a:r>
          <a:r>
            <a:rPr lang="en-US" sz="1100" b="0">
              <a:solidFill>
                <a:schemeClr val="tx1"/>
              </a:solidFill>
              <a:effectLst/>
              <a:latin typeface="+mn-lt"/>
              <a:ea typeface="+mn-ea"/>
              <a:cs typeface="+mn-cs"/>
            </a:rPr>
            <a:t> - </a:t>
          </a:r>
          <a:r>
            <a:rPr lang="en-US" sz="1100" b="0" i="0">
              <a:solidFill>
                <a:schemeClr val="tx1"/>
              </a:solidFill>
              <a:effectLst/>
              <a:latin typeface="+mn-lt"/>
              <a:ea typeface="+mn-ea"/>
              <a:cs typeface="+mn-cs"/>
            </a:rPr>
            <a:t>looks at the impact of digestion and solids separation</a:t>
          </a:r>
          <a:r>
            <a:rPr lang="en-US" sz="1100" b="0" i="0" baseline="0">
              <a:solidFill>
                <a:schemeClr val="tx1"/>
              </a:solidFill>
              <a:effectLst/>
              <a:latin typeface="+mn-lt"/>
              <a:ea typeface="+mn-ea"/>
              <a:cs typeface="+mn-cs"/>
            </a:rPr>
            <a:t> on the fertilizer nutrient value of the digestate, and contains the calculations for the numbers shown in the Nutrient_chart sheet</a:t>
          </a:r>
        </a:p>
        <a:p>
          <a:pPr marL="0" marR="0" lvl="0" indent="0" defTabSz="914400" eaLnBrk="1" fontAlgn="auto" latinLnBrk="0" hangingPunct="1">
            <a:lnSpc>
              <a:spcPct val="100000"/>
            </a:lnSpc>
            <a:spcBef>
              <a:spcPts val="0"/>
            </a:spcBef>
            <a:spcAft>
              <a:spcPts val="0"/>
            </a:spcAft>
            <a:buClrTx/>
            <a:buSzTx/>
            <a:buFontTx/>
            <a:buNone/>
            <a:tabLst/>
            <a:defRPr/>
          </a:pPr>
          <a:endParaRPr lang="en-US" sz="1200" b="1" u="sng">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a:solidFill>
                <a:schemeClr val="tx1"/>
              </a:solidFill>
              <a:effectLst/>
              <a:latin typeface="+mn-lt"/>
              <a:ea typeface="+mn-ea"/>
              <a:cs typeface="+mn-cs"/>
            </a:rPr>
            <a:t>This spreadsheet does NOT calculate the biogas output</a:t>
          </a:r>
          <a:r>
            <a:rPr lang="en-US" sz="1200" baseline="0">
              <a:solidFill>
                <a:schemeClr val="tx1"/>
              </a:solidFill>
              <a:effectLst/>
              <a:latin typeface="+mn-lt"/>
              <a:ea typeface="+mn-ea"/>
              <a:cs typeface="+mn-cs"/>
            </a:rPr>
            <a:t> of a digester.  The EPA Agstar AD spreadsheet screening tool is recommended for that calculation if the information is not available elsewhere.  That tool and its user manual are available at </a:t>
          </a:r>
          <a:r>
            <a:rPr lang="en-US" sz="1100" u="sng">
              <a:solidFill>
                <a:schemeClr val="tx1"/>
              </a:solidFill>
              <a:effectLst/>
              <a:latin typeface="+mn-lt"/>
              <a:ea typeface="+mn-ea"/>
              <a:cs typeface="+mn-cs"/>
              <a:hlinkClick xmlns:r="http://schemas.openxmlformats.org/officeDocument/2006/relationships" r:id=""/>
            </a:rPr>
            <a:t>https://www.epa.gov/agstar</a:t>
          </a:r>
          <a:r>
            <a:rPr lang="en-US" sz="1100" u="sng">
              <a:solidFill>
                <a:schemeClr val="tx1"/>
              </a:solidFill>
              <a:effectLst/>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endParaRPr lang="en-US" sz="12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a:solidFill>
                <a:schemeClr val="tx1"/>
              </a:solidFill>
              <a:effectLst/>
              <a:latin typeface="+mn-lt"/>
              <a:ea typeface="+mn-ea"/>
              <a:cs typeface="+mn-cs"/>
            </a:rPr>
            <a:t>Some</a:t>
          </a:r>
          <a:r>
            <a:rPr lang="en-US" sz="1200" baseline="0">
              <a:solidFill>
                <a:schemeClr val="tx1"/>
              </a:solidFill>
              <a:effectLst/>
              <a:latin typeface="+mn-lt"/>
              <a:ea typeface="+mn-ea"/>
              <a:cs typeface="+mn-cs"/>
            </a:rPr>
            <a:t> </a:t>
          </a:r>
          <a:r>
            <a:rPr lang="en-US" sz="1200">
              <a:solidFill>
                <a:schemeClr val="tx1"/>
              </a:solidFill>
              <a:effectLst/>
              <a:latin typeface="+mn-lt"/>
              <a:ea typeface="+mn-ea"/>
              <a:cs typeface="+mn-cs"/>
            </a:rPr>
            <a:t>parts of this spreadsheet are repurposed from the </a:t>
          </a:r>
          <a:r>
            <a:rPr lang="en-US" sz="1200" baseline="0">
              <a:solidFill>
                <a:schemeClr val="tx1"/>
              </a:solidFill>
              <a:effectLst/>
              <a:latin typeface="+mn-lt"/>
              <a:ea typeface="+mn-ea"/>
              <a:cs typeface="+mn-cs"/>
            </a:rPr>
            <a:t>Cost of Renewable Energy Spreadsheet Tool (CREST) version 1.4 by Sustainable Energy Advantage, LLC under contract to the National Renewable Energy Laboratory.  The model output has been changed to investment criteria such as net present value and internal rate of return at a user-entered electricity sale price and other inputs, rather than a cost of energy as in that model.  Some of the switchgrass enterprise budget format is from the To Grow or Not Grow switchgrass budget spreadsheet by Jacobs, Mitchell and Hart.</a:t>
          </a:r>
          <a:endParaRPr lang="en-US" sz="1200" b="1" u="sng">
            <a:solidFill>
              <a:schemeClr val="tx1"/>
            </a:solidFill>
            <a:effectLst/>
            <a:latin typeface="+mn-lt"/>
            <a:ea typeface="+mn-ea"/>
            <a:cs typeface="+mn-cs"/>
          </a:endParaRPr>
        </a:p>
        <a:p>
          <a:endParaRPr lang="en-US" sz="1200">
            <a:solidFill>
              <a:schemeClr val="tx1"/>
            </a:solidFill>
            <a:effectLst/>
            <a:latin typeface="+mn-lt"/>
            <a:ea typeface="+mn-ea"/>
            <a:cs typeface="+mn-cs"/>
          </a:endParaRPr>
        </a:p>
        <a:p>
          <a:r>
            <a:rPr lang="en-US" sz="1200" b="1" i="1">
              <a:solidFill>
                <a:schemeClr val="tx1"/>
              </a:solidFill>
              <a:effectLst/>
              <a:latin typeface="+mn-lt"/>
              <a:ea typeface="+mn-ea"/>
              <a:cs typeface="+mn-cs"/>
            </a:rPr>
            <a:t>This research is part of a regional collaborative project supported by the USDA-NIFA,</a:t>
          </a:r>
          <a:r>
            <a:rPr lang="en-US" sz="1200" b="1" i="1" baseline="0">
              <a:solidFill>
                <a:schemeClr val="tx1"/>
              </a:solidFill>
              <a:effectLst/>
              <a:latin typeface="+mn-lt"/>
              <a:ea typeface="+mn-ea"/>
              <a:cs typeface="+mn-cs"/>
            </a:rPr>
            <a:t> </a:t>
          </a:r>
          <a:r>
            <a:rPr lang="en-US" sz="1200" b="1" i="1">
              <a:solidFill>
                <a:schemeClr val="tx1"/>
              </a:solidFill>
              <a:effectLst/>
              <a:latin typeface="+mn-lt"/>
              <a:ea typeface="+mn-ea"/>
              <a:cs typeface="+mn-cs"/>
            </a:rPr>
            <a:t>Award No. 2020-68012-31824, Consortium for Cultivating Human And Naturally reGenerative Enterprises.  </a:t>
          </a:r>
          <a:r>
            <a:rPr lang="en-US" sz="1200">
              <a:solidFill>
                <a:schemeClr val="tx1"/>
              </a:solidFill>
              <a:effectLst/>
              <a:latin typeface="+mn-lt"/>
              <a:ea typeface="+mn-ea"/>
              <a:cs typeface="+mn-cs"/>
            </a:rPr>
            <a:t>Any opinions, findings, conclusions, or recommendations expressed in this publication are those of the author(s) and do not necessarily reflect the view of the U.S. Department of Agriculture.</a:t>
          </a:r>
        </a:p>
        <a:p>
          <a:r>
            <a:rPr lang="en-US" sz="1200">
              <a:solidFill>
                <a:schemeClr val="tx1"/>
              </a:solidFill>
              <a:effectLst/>
              <a:latin typeface="+mn-lt"/>
              <a:ea typeface="+mn-ea"/>
              <a:cs typeface="+mn-cs"/>
            </a:rPr>
            <a:t> </a:t>
          </a:r>
        </a:p>
      </xdr:txBody>
    </xdr:sp>
    <xdr:clientData/>
  </xdr:oneCellAnchor>
  <xdr:twoCellAnchor>
    <xdr:from>
      <xdr:col>0</xdr:col>
      <xdr:colOff>76200</xdr:colOff>
      <xdr:row>0</xdr:row>
      <xdr:rowOff>47625</xdr:rowOff>
    </xdr:from>
    <xdr:to>
      <xdr:col>22</xdr:col>
      <xdr:colOff>123825</xdr:colOff>
      <xdr:row>8</xdr:row>
      <xdr:rowOff>104775</xdr:rowOff>
    </xdr:to>
    <xdr:sp macro="" textlink="">
      <xdr:nvSpPr>
        <xdr:cNvPr id="5" name="TextBox 4">
          <a:extLst>
            <a:ext uri="{FF2B5EF4-FFF2-40B4-BE49-F238E27FC236}">
              <a16:creationId xmlns:a16="http://schemas.microsoft.com/office/drawing/2014/main" id="{18194187-4067-479E-B422-59174C13D3DD}"/>
            </a:ext>
          </a:extLst>
        </xdr:cNvPr>
        <xdr:cNvSpPr txBox="1"/>
      </xdr:nvSpPr>
      <xdr:spPr>
        <a:xfrm>
          <a:off x="76200" y="47625"/>
          <a:ext cx="12973050" cy="1581150"/>
        </a:xfrm>
        <a:prstGeom prst="rect">
          <a:avLst/>
        </a:prstGeom>
        <a:gradFill flip="none" rotWithShape="1">
          <a:gsLst>
            <a:gs pos="0">
              <a:srgbClr val="002060"/>
            </a:gs>
            <a:gs pos="68000">
              <a:srgbClr val="002060"/>
            </a:gs>
            <a:gs pos="100000">
              <a:schemeClr val="bg1"/>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400" b="1" baseline="0">
              <a:solidFill>
                <a:schemeClr val="bg1"/>
              </a:solidFill>
              <a:latin typeface="Open Sans" panose="020B0606030504020204" pitchFamily="34" charset="0"/>
              <a:ea typeface="Open Sans" panose="020B0606030504020204" pitchFamily="34" charset="0"/>
              <a:cs typeface="Open Sans" panose="020B0606030504020204" pitchFamily="34" charset="0"/>
            </a:rPr>
            <a:t>Penn State Extension Central Digester Participant Economics Tool, version 1.0</a:t>
          </a:r>
        </a:p>
      </xdr:txBody>
    </xdr:sp>
    <xdr:clientData/>
  </xdr:twoCellAnchor>
  <xdr:twoCellAnchor editAs="oneCell">
    <xdr:from>
      <xdr:col>10</xdr:col>
      <xdr:colOff>320713</xdr:colOff>
      <xdr:row>55</xdr:row>
      <xdr:rowOff>0</xdr:rowOff>
    </xdr:from>
    <xdr:to>
      <xdr:col>12</xdr:col>
      <xdr:colOff>348694</xdr:colOff>
      <xdr:row>62</xdr:row>
      <xdr:rowOff>95250</xdr:rowOff>
    </xdr:to>
    <xdr:pic>
      <xdr:nvPicPr>
        <xdr:cNvPr id="8" name="Picture 7">
          <a:extLst>
            <a:ext uri="{FF2B5EF4-FFF2-40B4-BE49-F238E27FC236}">
              <a16:creationId xmlns:a16="http://schemas.microsoft.com/office/drawing/2014/main" id="{57DF0031-C59A-F4E2-D597-59CE1112675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130963" y="11049000"/>
          <a:ext cx="1190031" cy="1428750"/>
        </a:xfrm>
        <a:prstGeom prst="rect">
          <a:avLst/>
        </a:prstGeom>
      </xdr:spPr>
    </xdr:pic>
    <xdr:clientData/>
  </xdr:twoCellAnchor>
  <xdr:twoCellAnchor editAs="oneCell">
    <xdr:from>
      <xdr:col>15</xdr:col>
      <xdr:colOff>415636</xdr:colOff>
      <xdr:row>10</xdr:row>
      <xdr:rowOff>181842</xdr:rowOff>
    </xdr:from>
    <xdr:to>
      <xdr:col>22</xdr:col>
      <xdr:colOff>305072</xdr:colOff>
      <xdr:row>24</xdr:row>
      <xdr:rowOff>148542</xdr:rowOff>
    </xdr:to>
    <xdr:pic>
      <xdr:nvPicPr>
        <xdr:cNvPr id="10" name="Picture 9">
          <a:extLst>
            <a:ext uri="{FF2B5EF4-FFF2-40B4-BE49-F238E27FC236}">
              <a16:creationId xmlns:a16="http://schemas.microsoft.com/office/drawing/2014/main" id="{BED0866A-B9A4-78E1-4202-3C87CCAD89B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265227" y="2086842"/>
          <a:ext cx="3950550" cy="2633700"/>
        </a:xfrm>
        <a:prstGeom prst="rect">
          <a:avLst/>
        </a:prstGeom>
      </xdr:spPr>
    </xdr:pic>
    <xdr:clientData/>
  </xdr:twoCellAnchor>
  <xdr:twoCellAnchor editAs="oneCell">
    <xdr:from>
      <xdr:col>15</xdr:col>
      <xdr:colOff>424295</xdr:colOff>
      <xdr:row>25</xdr:row>
      <xdr:rowOff>173182</xdr:rowOff>
    </xdr:from>
    <xdr:to>
      <xdr:col>22</xdr:col>
      <xdr:colOff>313731</xdr:colOff>
      <xdr:row>39</xdr:row>
      <xdr:rowOff>136454</xdr:rowOff>
    </xdr:to>
    <xdr:pic>
      <xdr:nvPicPr>
        <xdr:cNvPr id="13" name="Picture 12">
          <a:extLst>
            <a:ext uri="{FF2B5EF4-FFF2-40B4-BE49-F238E27FC236}">
              <a16:creationId xmlns:a16="http://schemas.microsoft.com/office/drawing/2014/main" id="{B1648371-BCA3-AFDB-5FA9-0C604666891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273886" y="4935682"/>
          <a:ext cx="3950550" cy="2639797"/>
        </a:xfrm>
        <a:prstGeom prst="rect">
          <a:avLst/>
        </a:prstGeom>
      </xdr:spPr>
    </xdr:pic>
    <xdr:clientData/>
  </xdr:twoCellAnchor>
  <xdr:twoCellAnchor editAs="oneCell">
    <xdr:from>
      <xdr:col>15</xdr:col>
      <xdr:colOff>409575</xdr:colOff>
      <xdr:row>40</xdr:row>
      <xdr:rowOff>76200</xdr:rowOff>
    </xdr:from>
    <xdr:to>
      <xdr:col>22</xdr:col>
      <xdr:colOff>262432</xdr:colOff>
      <xdr:row>55</xdr:row>
      <xdr:rowOff>157227</xdr:rowOff>
    </xdr:to>
    <xdr:pic>
      <xdr:nvPicPr>
        <xdr:cNvPr id="15" name="Picture 14">
          <a:extLst>
            <a:ext uri="{FF2B5EF4-FFF2-40B4-BE49-F238E27FC236}">
              <a16:creationId xmlns:a16="http://schemas.microsoft.com/office/drawing/2014/main" id="{A1762287-F502-7F0D-CE3F-D1ABF74E3A1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267825" y="7705725"/>
          <a:ext cx="3920032" cy="2938527"/>
        </a:xfrm>
        <a:prstGeom prst="rect">
          <a:avLst/>
        </a:prstGeom>
      </xdr:spPr>
    </xdr:pic>
    <xdr:clientData/>
  </xdr:twoCellAnchor>
  <xdr:oneCellAnchor>
    <xdr:from>
      <xdr:col>16</xdr:col>
      <xdr:colOff>95250</xdr:colOff>
      <xdr:row>64</xdr:row>
      <xdr:rowOff>171450</xdr:rowOff>
    </xdr:from>
    <xdr:ext cx="2507674" cy="264560"/>
    <xdr:sp macro="" textlink="">
      <xdr:nvSpPr>
        <xdr:cNvPr id="2" name="TextBox 1">
          <a:extLst>
            <a:ext uri="{FF2B5EF4-FFF2-40B4-BE49-F238E27FC236}">
              <a16:creationId xmlns:a16="http://schemas.microsoft.com/office/drawing/2014/main" id="{B1913420-8FB3-F7FE-8251-3A088DD132CF}"/>
            </a:ext>
          </a:extLst>
        </xdr:cNvPr>
        <xdr:cNvSpPr txBox="1"/>
      </xdr:nvSpPr>
      <xdr:spPr>
        <a:xfrm>
          <a:off x="9534525" y="10648950"/>
          <a:ext cx="250767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0" i="0">
              <a:solidFill>
                <a:schemeClr val="tx1"/>
              </a:solidFill>
              <a:effectLst/>
              <a:latin typeface="+mn-lt"/>
              <a:ea typeface="+mn-ea"/>
              <a:cs typeface="+mn-cs"/>
            </a:rPr>
            <a:t>Photos courtesy of Iowa State University</a:t>
          </a:r>
          <a:endParaRPr lang="en-US" sz="1100"/>
        </a:p>
      </xdr:txBody>
    </xdr:sp>
    <xdr:clientData/>
  </xdr:oneCellAnchor>
  <xdr:oneCellAnchor>
    <xdr:from>
      <xdr:col>7</xdr:col>
      <xdr:colOff>114300</xdr:colOff>
      <xdr:row>10</xdr:row>
      <xdr:rowOff>85725</xdr:rowOff>
    </xdr:from>
    <xdr:ext cx="184731" cy="264560"/>
    <xdr:sp macro="" textlink="">
      <xdr:nvSpPr>
        <xdr:cNvPr id="4" name="TextBox 3">
          <a:extLst>
            <a:ext uri="{FF2B5EF4-FFF2-40B4-BE49-F238E27FC236}">
              <a16:creationId xmlns:a16="http://schemas.microsoft.com/office/drawing/2014/main" id="{568C6212-DB8B-A68D-120D-B2A5E62599CB}"/>
            </a:ext>
          </a:extLst>
        </xdr:cNvPr>
        <xdr:cNvSpPr txBox="1"/>
      </xdr:nvSpPr>
      <xdr:spPr>
        <a:xfrm>
          <a:off x="4181475" y="199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369695</xdr:colOff>
      <xdr:row>0</xdr:row>
      <xdr:rowOff>1019174</xdr:rowOff>
    </xdr:to>
    <xdr:pic>
      <xdr:nvPicPr>
        <xdr:cNvPr id="2" name="Picture 1">
          <a:extLst>
            <a:ext uri="{FF2B5EF4-FFF2-40B4-BE49-F238E27FC236}">
              <a16:creationId xmlns:a16="http://schemas.microsoft.com/office/drawing/2014/main" id="{95FCC7E9-22AA-465E-8F8B-4B0CAD9EBB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484370" cy="10191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314325</xdr:colOff>
      <xdr:row>18</xdr:row>
      <xdr:rowOff>161925</xdr:rowOff>
    </xdr:from>
    <xdr:to>
      <xdr:col>12</xdr:col>
      <xdr:colOff>714375</xdr:colOff>
      <xdr:row>44</xdr:row>
      <xdr:rowOff>180974</xdr:rowOff>
    </xdr:to>
    <xdr:graphicFrame macro="">
      <xdr:nvGraphicFramePr>
        <xdr:cNvPr id="3" name="Chart 2">
          <a:extLst>
            <a:ext uri="{FF2B5EF4-FFF2-40B4-BE49-F238E27FC236}">
              <a16:creationId xmlns:a16="http://schemas.microsoft.com/office/drawing/2014/main" id="{9D1B1C5D-4DDD-46F1-83E3-C58F6D75AB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8</xdr:col>
      <xdr:colOff>1257300</xdr:colOff>
      <xdr:row>45</xdr:row>
      <xdr:rowOff>57150</xdr:rowOff>
    </xdr:from>
    <xdr:ext cx="887935" cy="374141"/>
    <xdr:sp macro="" textlink="">
      <xdr:nvSpPr>
        <xdr:cNvPr id="2" name="TextBox 1">
          <a:extLst>
            <a:ext uri="{FF2B5EF4-FFF2-40B4-BE49-F238E27FC236}">
              <a16:creationId xmlns:a16="http://schemas.microsoft.com/office/drawing/2014/main" id="{F5EAE4F8-3E66-55BF-A219-7ACD320F4E72}"/>
            </a:ext>
          </a:extLst>
        </xdr:cNvPr>
        <xdr:cNvSpPr txBox="1"/>
      </xdr:nvSpPr>
      <xdr:spPr>
        <a:xfrm>
          <a:off x="10706100" y="9067800"/>
          <a:ext cx="887935"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800" b="1"/>
            <a:t>Inflows</a:t>
          </a:r>
        </a:p>
      </xdr:txBody>
    </xdr:sp>
    <xdr:clientData/>
  </xdr:oneCellAnchor>
  <xdr:oneCellAnchor>
    <xdr:from>
      <xdr:col>10</xdr:col>
      <xdr:colOff>101600</xdr:colOff>
      <xdr:row>45</xdr:row>
      <xdr:rowOff>57150</xdr:rowOff>
    </xdr:from>
    <xdr:ext cx="1062535" cy="374141"/>
    <xdr:sp macro="" textlink="">
      <xdr:nvSpPr>
        <xdr:cNvPr id="4" name="TextBox 3">
          <a:extLst>
            <a:ext uri="{FF2B5EF4-FFF2-40B4-BE49-F238E27FC236}">
              <a16:creationId xmlns:a16="http://schemas.microsoft.com/office/drawing/2014/main" id="{6C95DA5F-CFE0-42A6-ABDD-C6216EC8A29B}"/>
            </a:ext>
          </a:extLst>
        </xdr:cNvPr>
        <xdr:cNvSpPr txBox="1"/>
      </xdr:nvSpPr>
      <xdr:spPr>
        <a:xfrm>
          <a:off x="14246225" y="9067800"/>
          <a:ext cx="1062535"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800" b="1"/>
            <a:t>Outflows</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0</xdr:col>
      <xdr:colOff>295275</xdr:colOff>
      <xdr:row>2</xdr:row>
      <xdr:rowOff>95250</xdr:rowOff>
    </xdr:from>
    <xdr:ext cx="7172325" cy="781240"/>
    <xdr:sp macro="" textlink="">
      <xdr:nvSpPr>
        <xdr:cNvPr id="2" name="TextBox 1">
          <a:extLst>
            <a:ext uri="{FF2B5EF4-FFF2-40B4-BE49-F238E27FC236}">
              <a16:creationId xmlns:a16="http://schemas.microsoft.com/office/drawing/2014/main" id="{78A85A99-91CB-97B3-746B-B2DE78276E46}"/>
            </a:ext>
          </a:extLst>
        </xdr:cNvPr>
        <xdr:cNvSpPr txBox="1"/>
      </xdr:nvSpPr>
      <xdr:spPr>
        <a:xfrm>
          <a:off x="295275" y="476250"/>
          <a:ext cx="7172325" cy="781240"/>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The calculations in this sheet relate to three scenarios:  1) no</a:t>
          </a:r>
          <a:r>
            <a:rPr lang="en-US" sz="1100" baseline="0"/>
            <a:t> digester or separator, land-applying raw manure (columns B-G), 2) digester and separator processing manure and food waste, but not grass (columns J-Q), and 3) adding the grass to the system (columns R-X).  To display the grass addition in scenario 3, unhide the Inputs with Grass sheet and change cell C4 from "No" to "Yes".</a:t>
          </a:r>
          <a:endParaRPr lang="en-US" sz="1100"/>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6</xdr:col>
      <xdr:colOff>180975</xdr:colOff>
      <xdr:row>35</xdr:row>
      <xdr:rowOff>142875</xdr:rowOff>
    </xdr:from>
    <xdr:to>
      <xdr:col>7</xdr:col>
      <xdr:colOff>419100</xdr:colOff>
      <xdr:row>47</xdr:row>
      <xdr:rowOff>152400</xdr:rowOff>
    </xdr:to>
    <xdr:cxnSp macro="">
      <xdr:nvCxnSpPr>
        <xdr:cNvPr id="28" name="Straight Arrow Connector 27">
          <a:extLst>
            <a:ext uri="{FF2B5EF4-FFF2-40B4-BE49-F238E27FC236}">
              <a16:creationId xmlns:a16="http://schemas.microsoft.com/office/drawing/2014/main" id="{808BFBA9-62D4-BC04-6D9C-F1FA16E2EB30}"/>
            </a:ext>
          </a:extLst>
        </xdr:cNvPr>
        <xdr:cNvCxnSpPr/>
      </xdr:nvCxnSpPr>
      <xdr:spPr>
        <a:xfrm flipH="1">
          <a:off x="3971925" y="6810375"/>
          <a:ext cx="1104900" cy="2295525"/>
        </a:xfrm>
        <a:prstGeom prst="straightConnector1">
          <a:avLst/>
        </a:prstGeom>
        <a:ln w="63500" cap="flat" cmpd="sng" algn="ctr">
          <a:solidFill>
            <a:schemeClr val="accent3">
              <a:lumMod val="40000"/>
              <a:lumOff val="60000"/>
            </a:schemeClr>
          </a:solidFill>
          <a:prstDash val="solid"/>
          <a:round/>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123825</xdr:colOff>
      <xdr:row>7</xdr:row>
      <xdr:rowOff>114300</xdr:rowOff>
    </xdr:from>
    <xdr:to>
      <xdr:col>8</xdr:col>
      <xdr:colOff>133350</xdr:colOff>
      <xdr:row>14</xdr:row>
      <xdr:rowOff>180975</xdr:rowOff>
    </xdr:to>
    <xdr:cxnSp macro="">
      <xdr:nvCxnSpPr>
        <xdr:cNvPr id="22" name="Straight Arrow Connector 21">
          <a:extLst>
            <a:ext uri="{FF2B5EF4-FFF2-40B4-BE49-F238E27FC236}">
              <a16:creationId xmlns:a16="http://schemas.microsoft.com/office/drawing/2014/main" id="{03CF87BD-D4C9-4472-DD22-9BF4C90EA6BC}"/>
            </a:ext>
          </a:extLst>
        </xdr:cNvPr>
        <xdr:cNvCxnSpPr/>
      </xdr:nvCxnSpPr>
      <xdr:spPr>
        <a:xfrm flipH="1">
          <a:off x="5534025" y="1447800"/>
          <a:ext cx="9525" cy="1400175"/>
        </a:xfrm>
        <a:prstGeom prst="straightConnector1">
          <a:avLst/>
        </a:prstGeom>
        <a:ln w="63500" cap="flat" cmpd="sng" algn="ctr">
          <a:solidFill>
            <a:schemeClr val="accent3">
              <a:lumMod val="40000"/>
              <a:lumOff val="60000"/>
            </a:schemeClr>
          </a:solidFill>
          <a:prstDash val="solid"/>
          <a:round/>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2721</xdr:colOff>
      <xdr:row>22</xdr:row>
      <xdr:rowOff>42182</xdr:rowOff>
    </xdr:from>
    <xdr:to>
      <xdr:col>9</xdr:col>
      <xdr:colOff>434067</xdr:colOff>
      <xdr:row>23</xdr:row>
      <xdr:rowOff>137432</xdr:rowOff>
    </xdr:to>
    <xdr:sp macro="" textlink="">
      <xdr:nvSpPr>
        <xdr:cNvPr id="3" name="TextBox 2">
          <a:extLst>
            <a:ext uri="{FF2B5EF4-FFF2-40B4-BE49-F238E27FC236}">
              <a16:creationId xmlns:a16="http://schemas.microsoft.com/office/drawing/2014/main" id="{80FC2F9E-DF2A-0EB3-3048-53FEEFF6FE46}"/>
            </a:ext>
          </a:extLst>
        </xdr:cNvPr>
        <xdr:cNvSpPr txBox="1"/>
      </xdr:nvSpPr>
      <xdr:spPr>
        <a:xfrm>
          <a:off x="4901292" y="2328182"/>
          <a:ext cx="1043668" cy="285750"/>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Digester</a:t>
          </a:r>
        </a:p>
      </xdr:txBody>
    </xdr:sp>
    <xdr:clientData/>
  </xdr:twoCellAnchor>
  <xdr:oneCellAnchor>
    <xdr:from>
      <xdr:col>8</xdr:col>
      <xdr:colOff>40822</xdr:colOff>
      <xdr:row>33</xdr:row>
      <xdr:rowOff>32657</xdr:rowOff>
    </xdr:from>
    <xdr:ext cx="1104405" cy="264560"/>
    <xdr:sp macro="" textlink="">
      <xdr:nvSpPr>
        <xdr:cNvPr id="4" name="TextBox 3">
          <a:extLst>
            <a:ext uri="{FF2B5EF4-FFF2-40B4-BE49-F238E27FC236}">
              <a16:creationId xmlns:a16="http://schemas.microsoft.com/office/drawing/2014/main" id="{1F0D5ABE-13EC-B91B-FED5-A3C10D406583}"/>
            </a:ext>
          </a:extLst>
        </xdr:cNvPr>
        <xdr:cNvSpPr txBox="1"/>
      </xdr:nvSpPr>
      <xdr:spPr>
        <a:xfrm>
          <a:off x="4939393" y="3842657"/>
          <a:ext cx="1104405" cy="264560"/>
        </a:xfrm>
        <a:prstGeom prst="rect">
          <a:avLst/>
        </a:prstGeom>
        <a:solidFill>
          <a:schemeClr val="accent3">
            <a:lumMod val="40000"/>
            <a:lumOff val="60000"/>
          </a:schemeClr>
        </a:solidFill>
        <a:ln>
          <a:solidFill>
            <a:schemeClr val="accent1">
              <a:shade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Solids</a:t>
          </a:r>
          <a:r>
            <a:rPr lang="en-US" sz="1100" baseline="0"/>
            <a:t> separator</a:t>
          </a:r>
          <a:endParaRPr lang="en-US" sz="1100"/>
        </a:p>
      </xdr:txBody>
    </xdr:sp>
    <xdr:clientData/>
  </xdr:oneCellAnchor>
  <xdr:oneCellAnchor>
    <xdr:from>
      <xdr:col>4</xdr:col>
      <xdr:colOff>507318</xdr:colOff>
      <xdr:row>5</xdr:row>
      <xdr:rowOff>60779</xdr:rowOff>
    </xdr:from>
    <xdr:ext cx="1463349" cy="264560"/>
    <xdr:sp macro="" textlink="">
      <xdr:nvSpPr>
        <xdr:cNvPr id="5" name="TextBox 4">
          <a:extLst>
            <a:ext uri="{FF2B5EF4-FFF2-40B4-BE49-F238E27FC236}">
              <a16:creationId xmlns:a16="http://schemas.microsoft.com/office/drawing/2014/main" id="{AAD97787-4052-1EA8-BE90-E84B1FE40A97}"/>
            </a:ext>
          </a:extLst>
        </xdr:cNvPr>
        <xdr:cNvSpPr txBox="1"/>
      </xdr:nvSpPr>
      <xdr:spPr>
        <a:xfrm>
          <a:off x="2945718" y="1013279"/>
          <a:ext cx="1463349"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u="sng"/>
            <a:t>Manure &amp; switchgrass</a:t>
          </a:r>
        </a:p>
      </xdr:txBody>
    </xdr:sp>
    <xdr:clientData/>
  </xdr:oneCellAnchor>
  <xdr:oneCellAnchor>
    <xdr:from>
      <xdr:col>11</xdr:col>
      <xdr:colOff>451302</xdr:colOff>
      <xdr:row>2</xdr:row>
      <xdr:rowOff>148771</xdr:rowOff>
    </xdr:from>
    <xdr:ext cx="857222" cy="264560"/>
    <xdr:sp macro="" textlink="">
      <xdr:nvSpPr>
        <xdr:cNvPr id="7" name="TextBox 6">
          <a:extLst>
            <a:ext uri="{FF2B5EF4-FFF2-40B4-BE49-F238E27FC236}">
              <a16:creationId xmlns:a16="http://schemas.microsoft.com/office/drawing/2014/main" id="{7A6DC667-2A40-3317-7C11-2A84E25693ED}"/>
            </a:ext>
          </a:extLst>
        </xdr:cNvPr>
        <xdr:cNvSpPr txBox="1"/>
      </xdr:nvSpPr>
      <xdr:spPr>
        <a:xfrm>
          <a:off x="7871277" y="529771"/>
          <a:ext cx="857222"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u="sng"/>
            <a:t>Switchgrass</a:t>
          </a:r>
        </a:p>
      </xdr:txBody>
    </xdr:sp>
    <xdr:clientData/>
  </xdr:oneCellAnchor>
  <xdr:oneCellAnchor>
    <xdr:from>
      <xdr:col>8</xdr:col>
      <xdr:colOff>218622</xdr:colOff>
      <xdr:row>24</xdr:row>
      <xdr:rowOff>107951</xdr:rowOff>
    </xdr:from>
    <xdr:ext cx="727956" cy="264560"/>
    <xdr:sp macro="" textlink="">
      <xdr:nvSpPr>
        <xdr:cNvPr id="8" name="TextBox 7">
          <a:extLst>
            <a:ext uri="{FF2B5EF4-FFF2-40B4-BE49-F238E27FC236}">
              <a16:creationId xmlns:a16="http://schemas.microsoft.com/office/drawing/2014/main" id="{2E0FE4BA-FB76-F6BD-7F0B-81B8132F2ADF}"/>
            </a:ext>
          </a:extLst>
        </xdr:cNvPr>
        <xdr:cNvSpPr txBox="1"/>
      </xdr:nvSpPr>
      <xdr:spPr>
        <a:xfrm>
          <a:off x="5243060" y="4870451"/>
          <a:ext cx="7279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u="sng"/>
            <a:t>Digestate</a:t>
          </a:r>
        </a:p>
      </xdr:txBody>
    </xdr:sp>
    <xdr:clientData/>
  </xdr:oneCellAnchor>
  <xdr:oneCellAnchor>
    <xdr:from>
      <xdr:col>4</xdr:col>
      <xdr:colOff>663576</xdr:colOff>
      <xdr:row>48</xdr:row>
      <xdr:rowOff>20638</xdr:rowOff>
    </xdr:from>
    <xdr:ext cx="690189" cy="264560"/>
    <xdr:sp macro="" textlink="">
      <xdr:nvSpPr>
        <xdr:cNvPr id="13" name="TextBox 12">
          <a:extLst>
            <a:ext uri="{FF2B5EF4-FFF2-40B4-BE49-F238E27FC236}">
              <a16:creationId xmlns:a16="http://schemas.microsoft.com/office/drawing/2014/main" id="{D7BE4460-5203-B497-8121-0E2A15C1FD0C}"/>
            </a:ext>
          </a:extLst>
        </xdr:cNvPr>
        <xdr:cNvSpPr txBox="1"/>
      </xdr:nvSpPr>
      <xdr:spPr>
        <a:xfrm>
          <a:off x="3101976" y="10117138"/>
          <a:ext cx="690189" cy="264560"/>
        </a:xfrm>
        <a:prstGeom prst="rect">
          <a:avLst/>
        </a:prstGeom>
        <a:solidFill>
          <a:schemeClr val="accent3">
            <a:lumMod val="40000"/>
            <a:lumOff val="60000"/>
          </a:schemeClr>
        </a:solidFill>
        <a:ln>
          <a:solidFill>
            <a:schemeClr val="lt1">
              <a:shade val="50000"/>
              <a:lumMod val="10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cropland</a:t>
          </a:r>
        </a:p>
      </xdr:txBody>
    </xdr:sp>
    <xdr:clientData/>
  </xdr:oneCellAnchor>
  <xdr:oneCellAnchor>
    <xdr:from>
      <xdr:col>2</xdr:col>
      <xdr:colOff>444500</xdr:colOff>
      <xdr:row>33</xdr:row>
      <xdr:rowOff>17462</xdr:rowOff>
    </xdr:from>
    <xdr:ext cx="948914" cy="264560"/>
    <xdr:sp macro="" textlink="">
      <xdr:nvSpPr>
        <xdr:cNvPr id="14" name="TextBox 13">
          <a:extLst>
            <a:ext uri="{FF2B5EF4-FFF2-40B4-BE49-F238E27FC236}">
              <a16:creationId xmlns:a16="http://schemas.microsoft.com/office/drawing/2014/main" id="{A780DF2A-F250-59A4-61BC-5B1BBB452652}"/>
            </a:ext>
          </a:extLst>
        </xdr:cNvPr>
        <xdr:cNvSpPr txBox="1"/>
      </xdr:nvSpPr>
      <xdr:spPr>
        <a:xfrm>
          <a:off x="1663700" y="7065962"/>
          <a:ext cx="948914" cy="264560"/>
        </a:xfrm>
        <a:prstGeom prst="rect">
          <a:avLst/>
        </a:prstGeom>
        <a:solidFill>
          <a:schemeClr val="accent3">
            <a:lumMod val="40000"/>
            <a:lumOff val="60000"/>
          </a:schemeClr>
        </a:solidFill>
        <a:ln>
          <a:solidFill>
            <a:schemeClr val="lt1">
              <a:shade val="50000"/>
              <a:lumMod val="10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freestall barn</a:t>
          </a:r>
        </a:p>
      </xdr:txBody>
    </xdr:sp>
    <xdr:clientData/>
  </xdr:oneCellAnchor>
  <xdr:oneCellAnchor>
    <xdr:from>
      <xdr:col>4</xdr:col>
      <xdr:colOff>390525</xdr:colOff>
      <xdr:row>3</xdr:row>
      <xdr:rowOff>106363</xdr:rowOff>
    </xdr:from>
    <xdr:ext cx="1695529" cy="264560"/>
    <xdr:sp macro="" textlink="">
      <xdr:nvSpPr>
        <xdr:cNvPr id="16" name="TextBox 15">
          <a:extLst>
            <a:ext uri="{FF2B5EF4-FFF2-40B4-BE49-F238E27FC236}">
              <a16:creationId xmlns:a16="http://schemas.microsoft.com/office/drawing/2014/main" id="{58211F2F-AFD1-7CF9-3DAF-5C4E6943FBE9}"/>
            </a:ext>
          </a:extLst>
        </xdr:cNvPr>
        <xdr:cNvSpPr txBox="1"/>
      </xdr:nvSpPr>
      <xdr:spPr>
        <a:xfrm>
          <a:off x="2828925" y="677863"/>
          <a:ext cx="1695529" cy="264560"/>
        </a:xfrm>
        <a:prstGeom prst="rect">
          <a:avLst/>
        </a:prstGeom>
        <a:solidFill>
          <a:schemeClr val="accent3">
            <a:lumMod val="40000"/>
            <a:lumOff val="60000"/>
          </a:schemeClr>
        </a:solidFill>
        <a:ln>
          <a:solidFill>
            <a:schemeClr val="lt1">
              <a:shade val="50000"/>
              <a:lumMod val="10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dairy herd &amp; freestall barn</a:t>
          </a:r>
        </a:p>
      </xdr:txBody>
    </xdr:sp>
    <xdr:clientData/>
  </xdr:oneCellAnchor>
  <xdr:oneCellAnchor>
    <xdr:from>
      <xdr:col>13</xdr:col>
      <xdr:colOff>344488</xdr:colOff>
      <xdr:row>2</xdr:row>
      <xdr:rowOff>112713</xdr:rowOff>
    </xdr:from>
    <xdr:ext cx="690189" cy="264560"/>
    <xdr:sp macro="" textlink="">
      <xdr:nvSpPr>
        <xdr:cNvPr id="18" name="TextBox 17">
          <a:extLst>
            <a:ext uri="{FF2B5EF4-FFF2-40B4-BE49-F238E27FC236}">
              <a16:creationId xmlns:a16="http://schemas.microsoft.com/office/drawing/2014/main" id="{226A98B7-01CA-9137-26A2-6B0509C6A3F2}"/>
            </a:ext>
          </a:extLst>
        </xdr:cNvPr>
        <xdr:cNvSpPr txBox="1"/>
      </xdr:nvSpPr>
      <xdr:spPr>
        <a:xfrm>
          <a:off x="8983663" y="493713"/>
          <a:ext cx="690189" cy="264560"/>
        </a:xfrm>
        <a:prstGeom prst="rect">
          <a:avLst/>
        </a:prstGeom>
        <a:solidFill>
          <a:schemeClr val="accent3">
            <a:lumMod val="40000"/>
            <a:lumOff val="60000"/>
          </a:schemeClr>
        </a:solidFill>
        <a:ln>
          <a:solidFill>
            <a:schemeClr val="lt1">
              <a:shade val="50000"/>
              <a:lumMod val="10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cropland</a:t>
          </a:r>
        </a:p>
      </xdr:txBody>
    </xdr:sp>
    <xdr:clientData/>
  </xdr:oneCellAnchor>
  <xdr:twoCellAnchor>
    <xdr:from>
      <xdr:col>6</xdr:col>
      <xdr:colOff>847725</xdr:colOff>
      <xdr:row>5</xdr:row>
      <xdr:rowOff>152400</xdr:rowOff>
    </xdr:from>
    <xdr:to>
      <xdr:col>7</xdr:col>
      <xdr:colOff>381000</xdr:colOff>
      <xdr:row>20</xdr:row>
      <xdr:rowOff>174625</xdr:rowOff>
    </xdr:to>
    <xdr:cxnSp macro="">
      <xdr:nvCxnSpPr>
        <xdr:cNvPr id="20" name="Straight Arrow Connector 19">
          <a:extLst>
            <a:ext uri="{FF2B5EF4-FFF2-40B4-BE49-F238E27FC236}">
              <a16:creationId xmlns:a16="http://schemas.microsoft.com/office/drawing/2014/main" id="{B61991D5-2A2C-90FB-37F7-197660FF9FBF}"/>
            </a:ext>
          </a:extLst>
        </xdr:cNvPr>
        <xdr:cNvCxnSpPr/>
      </xdr:nvCxnSpPr>
      <xdr:spPr>
        <a:xfrm>
          <a:off x="4638675" y="1104900"/>
          <a:ext cx="400050" cy="2879725"/>
        </a:xfrm>
        <a:prstGeom prst="straightConnector1">
          <a:avLst/>
        </a:prstGeom>
        <a:ln w="63500" cap="flat" cmpd="sng" algn="ctr">
          <a:solidFill>
            <a:schemeClr val="accent3">
              <a:lumMod val="40000"/>
              <a:lumOff val="60000"/>
            </a:schemeClr>
          </a:solidFill>
          <a:prstDash val="solid"/>
          <a:round/>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333375</xdr:colOff>
      <xdr:row>1</xdr:row>
      <xdr:rowOff>74612</xdr:rowOff>
    </xdr:from>
    <xdr:to>
      <xdr:col>7</xdr:col>
      <xdr:colOff>579438</xdr:colOff>
      <xdr:row>3</xdr:row>
      <xdr:rowOff>28575</xdr:rowOff>
    </xdr:to>
    <xdr:cxnSp macro="">
      <xdr:nvCxnSpPr>
        <xdr:cNvPr id="24" name="Straight Arrow Connector 23">
          <a:extLst>
            <a:ext uri="{FF2B5EF4-FFF2-40B4-BE49-F238E27FC236}">
              <a16:creationId xmlns:a16="http://schemas.microsoft.com/office/drawing/2014/main" id="{B2D75E5E-216E-72EA-46A7-3F1FB25A70C0}"/>
            </a:ext>
          </a:extLst>
        </xdr:cNvPr>
        <xdr:cNvCxnSpPr/>
      </xdr:nvCxnSpPr>
      <xdr:spPr>
        <a:xfrm flipH="1">
          <a:off x="4124325" y="265112"/>
          <a:ext cx="1112838" cy="334963"/>
        </a:xfrm>
        <a:prstGeom prst="straightConnector1">
          <a:avLst/>
        </a:prstGeom>
        <a:ln w="63500" cap="flat" cmpd="sng" algn="ctr">
          <a:solidFill>
            <a:schemeClr val="accent3">
              <a:lumMod val="40000"/>
              <a:lumOff val="60000"/>
            </a:schemeClr>
          </a:solidFill>
          <a:prstDash val="solid"/>
          <a:round/>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76200</xdr:colOff>
      <xdr:row>24</xdr:row>
      <xdr:rowOff>119063</xdr:rowOff>
    </xdr:from>
    <xdr:to>
      <xdr:col>8</xdr:col>
      <xdr:colOff>84137</xdr:colOff>
      <xdr:row>32</xdr:row>
      <xdr:rowOff>0</xdr:rowOff>
    </xdr:to>
    <xdr:cxnSp macro="">
      <xdr:nvCxnSpPr>
        <xdr:cNvPr id="26" name="Straight Arrow Connector 25">
          <a:extLst>
            <a:ext uri="{FF2B5EF4-FFF2-40B4-BE49-F238E27FC236}">
              <a16:creationId xmlns:a16="http://schemas.microsoft.com/office/drawing/2014/main" id="{D3E8FBCA-0CD3-49C1-D2E2-4807F73ADFBF}"/>
            </a:ext>
          </a:extLst>
        </xdr:cNvPr>
        <xdr:cNvCxnSpPr/>
      </xdr:nvCxnSpPr>
      <xdr:spPr>
        <a:xfrm flipH="1">
          <a:off x="5486400" y="4881563"/>
          <a:ext cx="7937" cy="1587500"/>
        </a:xfrm>
        <a:prstGeom prst="straightConnector1">
          <a:avLst/>
        </a:prstGeom>
        <a:ln w="63500" cap="flat" cmpd="sng" algn="ctr">
          <a:solidFill>
            <a:schemeClr val="accent3">
              <a:lumMod val="40000"/>
              <a:lumOff val="60000"/>
            </a:schemeClr>
          </a:solidFill>
          <a:prstDash val="solid"/>
          <a:round/>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400050</xdr:colOff>
      <xdr:row>33</xdr:row>
      <xdr:rowOff>161925</xdr:rowOff>
    </xdr:from>
    <xdr:to>
      <xdr:col>7</xdr:col>
      <xdr:colOff>695325</xdr:colOff>
      <xdr:row>34</xdr:row>
      <xdr:rowOff>28575</xdr:rowOff>
    </xdr:to>
    <xdr:cxnSp macro="">
      <xdr:nvCxnSpPr>
        <xdr:cNvPr id="30" name="Straight Arrow Connector 29">
          <a:extLst>
            <a:ext uri="{FF2B5EF4-FFF2-40B4-BE49-F238E27FC236}">
              <a16:creationId xmlns:a16="http://schemas.microsoft.com/office/drawing/2014/main" id="{15F47D52-0F0C-D620-2C5A-A5098ED1AECB}"/>
            </a:ext>
          </a:extLst>
        </xdr:cNvPr>
        <xdr:cNvCxnSpPr/>
      </xdr:nvCxnSpPr>
      <xdr:spPr>
        <a:xfrm flipH="1" flipV="1">
          <a:off x="2838450" y="7210425"/>
          <a:ext cx="2514600" cy="57150"/>
        </a:xfrm>
        <a:prstGeom prst="straightConnector1">
          <a:avLst/>
        </a:prstGeom>
        <a:ln w="63500" cap="flat" cmpd="sng" algn="ctr">
          <a:solidFill>
            <a:schemeClr val="accent3">
              <a:lumMod val="40000"/>
              <a:lumOff val="60000"/>
            </a:schemeClr>
          </a:solidFill>
          <a:prstDash val="solid"/>
          <a:round/>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514350</xdr:colOff>
      <xdr:row>36</xdr:row>
      <xdr:rowOff>0</xdr:rowOff>
    </xdr:from>
    <xdr:to>
      <xdr:col>4</xdr:col>
      <xdr:colOff>571500</xdr:colOff>
      <xdr:row>47</xdr:row>
      <xdr:rowOff>180975</xdr:rowOff>
    </xdr:to>
    <xdr:cxnSp macro="">
      <xdr:nvCxnSpPr>
        <xdr:cNvPr id="32" name="Straight Arrow Connector 31">
          <a:extLst>
            <a:ext uri="{FF2B5EF4-FFF2-40B4-BE49-F238E27FC236}">
              <a16:creationId xmlns:a16="http://schemas.microsoft.com/office/drawing/2014/main" id="{78B81F17-8382-62C1-3A5C-2EF23154E442}"/>
            </a:ext>
          </a:extLst>
        </xdr:cNvPr>
        <xdr:cNvCxnSpPr/>
      </xdr:nvCxnSpPr>
      <xdr:spPr>
        <a:xfrm>
          <a:off x="2343150" y="7620000"/>
          <a:ext cx="666750" cy="2466975"/>
        </a:xfrm>
        <a:prstGeom prst="straightConnector1">
          <a:avLst/>
        </a:prstGeom>
        <a:ln w="63500" cap="flat" cmpd="sng" algn="ctr">
          <a:solidFill>
            <a:schemeClr val="accent3">
              <a:lumMod val="40000"/>
              <a:lumOff val="60000"/>
            </a:schemeClr>
          </a:solidFill>
          <a:prstDash val="solid"/>
          <a:round/>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319088</xdr:colOff>
      <xdr:row>37</xdr:row>
      <xdr:rowOff>49213</xdr:rowOff>
    </xdr:from>
    <xdr:ext cx="1533112" cy="264560"/>
    <xdr:sp macro="" textlink="">
      <xdr:nvSpPr>
        <xdr:cNvPr id="39" name="TextBox 38">
          <a:extLst>
            <a:ext uri="{FF2B5EF4-FFF2-40B4-BE49-F238E27FC236}">
              <a16:creationId xmlns:a16="http://schemas.microsoft.com/office/drawing/2014/main" id="{38166858-3DC6-4B1C-8BAC-AD673B6EEC61}"/>
            </a:ext>
          </a:extLst>
        </xdr:cNvPr>
        <xdr:cNvSpPr txBox="1"/>
      </xdr:nvSpPr>
      <xdr:spPr>
        <a:xfrm>
          <a:off x="928688" y="7097713"/>
          <a:ext cx="153311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t>bedding (with manure)</a:t>
          </a:r>
        </a:p>
      </xdr:txBody>
    </xdr:sp>
    <xdr:clientData/>
  </xdr:oneCellAnchor>
  <xdr:twoCellAnchor>
    <xdr:from>
      <xdr:col>2</xdr:col>
      <xdr:colOff>285750</xdr:colOff>
      <xdr:row>12</xdr:row>
      <xdr:rowOff>171450</xdr:rowOff>
    </xdr:from>
    <xdr:to>
      <xdr:col>2</xdr:col>
      <xdr:colOff>600075</xdr:colOff>
      <xdr:row>32</xdr:row>
      <xdr:rowOff>152400</xdr:rowOff>
    </xdr:to>
    <xdr:cxnSp macro="">
      <xdr:nvCxnSpPr>
        <xdr:cNvPr id="36" name="Straight Arrow Connector 35">
          <a:extLst>
            <a:ext uri="{FF2B5EF4-FFF2-40B4-BE49-F238E27FC236}">
              <a16:creationId xmlns:a16="http://schemas.microsoft.com/office/drawing/2014/main" id="{B0ECF3B3-527E-F948-4CA2-A0C25136F498}"/>
            </a:ext>
          </a:extLst>
        </xdr:cNvPr>
        <xdr:cNvCxnSpPr/>
      </xdr:nvCxnSpPr>
      <xdr:spPr>
        <a:xfrm flipH="1" flipV="1">
          <a:off x="1504950" y="2266950"/>
          <a:ext cx="314325" cy="4743450"/>
        </a:xfrm>
        <a:prstGeom prst="straightConnector1">
          <a:avLst/>
        </a:prstGeom>
        <a:ln w="63500">
          <a:solidFill>
            <a:schemeClr val="accent3">
              <a:lumMod val="40000"/>
              <a:lumOff val="6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285750</xdr:colOff>
      <xdr:row>4</xdr:row>
      <xdr:rowOff>152400</xdr:rowOff>
    </xdr:from>
    <xdr:to>
      <xdr:col>4</xdr:col>
      <xdr:colOff>161925</xdr:colOff>
      <xdr:row>13</xdr:row>
      <xdr:rowOff>0</xdr:rowOff>
    </xdr:to>
    <xdr:cxnSp macro="">
      <xdr:nvCxnSpPr>
        <xdr:cNvPr id="38" name="Straight Arrow Connector 37">
          <a:extLst>
            <a:ext uri="{FF2B5EF4-FFF2-40B4-BE49-F238E27FC236}">
              <a16:creationId xmlns:a16="http://schemas.microsoft.com/office/drawing/2014/main" id="{6B2AABD3-AF01-97FB-5ADD-BACFD1C84161}"/>
            </a:ext>
          </a:extLst>
        </xdr:cNvPr>
        <xdr:cNvCxnSpPr/>
      </xdr:nvCxnSpPr>
      <xdr:spPr>
        <a:xfrm flipV="1">
          <a:off x="1504950" y="914400"/>
          <a:ext cx="1095375" cy="1400175"/>
        </a:xfrm>
        <a:prstGeom prst="straightConnector1">
          <a:avLst/>
        </a:prstGeom>
        <a:ln w="63500" cap="flat" cmpd="sng" algn="ctr">
          <a:solidFill>
            <a:schemeClr val="accent3">
              <a:lumMod val="40000"/>
              <a:lumOff val="60000"/>
            </a:schemeClr>
          </a:solidFill>
          <a:prstDash val="solid"/>
          <a:round/>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647700</xdr:colOff>
      <xdr:row>1</xdr:row>
      <xdr:rowOff>85725</xdr:rowOff>
    </xdr:from>
    <xdr:to>
      <xdr:col>13</xdr:col>
      <xdr:colOff>114300</xdr:colOff>
      <xdr:row>2</xdr:row>
      <xdr:rowOff>66675</xdr:rowOff>
    </xdr:to>
    <xdr:cxnSp macro="">
      <xdr:nvCxnSpPr>
        <xdr:cNvPr id="41" name="Straight Arrow Connector 40">
          <a:extLst>
            <a:ext uri="{FF2B5EF4-FFF2-40B4-BE49-F238E27FC236}">
              <a16:creationId xmlns:a16="http://schemas.microsoft.com/office/drawing/2014/main" id="{1023EA0E-C356-820D-4C05-3B73A0E360FB}"/>
            </a:ext>
          </a:extLst>
        </xdr:cNvPr>
        <xdr:cNvCxnSpPr/>
      </xdr:nvCxnSpPr>
      <xdr:spPr>
        <a:xfrm flipH="1" flipV="1">
          <a:off x="5305425" y="276225"/>
          <a:ext cx="3448050" cy="171450"/>
        </a:xfrm>
        <a:prstGeom prst="straightConnector1">
          <a:avLst/>
        </a:prstGeom>
        <a:ln w="63500" cap="flat" cmpd="sng" algn="ctr">
          <a:solidFill>
            <a:schemeClr val="accent3">
              <a:lumMod val="40000"/>
              <a:lumOff val="60000"/>
            </a:schemeClr>
          </a:solidFill>
          <a:prstDash val="solid"/>
          <a:round/>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104775</xdr:colOff>
      <xdr:row>50</xdr:row>
      <xdr:rowOff>38100</xdr:rowOff>
    </xdr:from>
    <xdr:to>
      <xdr:col>15</xdr:col>
      <xdr:colOff>28575</xdr:colOff>
      <xdr:row>50</xdr:row>
      <xdr:rowOff>95250</xdr:rowOff>
    </xdr:to>
    <xdr:cxnSp macro="">
      <xdr:nvCxnSpPr>
        <xdr:cNvPr id="43" name="Straight Arrow Connector 42">
          <a:extLst>
            <a:ext uri="{FF2B5EF4-FFF2-40B4-BE49-F238E27FC236}">
              <a16:creationId xmlns:a16="http://schemas.microsoft.com/office/drawing/2014/main" id="{79F620B6-B0F9-38AC-30A8-989F9FDEB9C2}"/>
            </a:ext>
          </a:extLst>
        </xdr:cNvPr>
        <xdr:cNvCxnSpPr/>
      </xdr:nvCxnSpPr>
      <xdr:spPr>
        <a:xfrm flipV="1">
          <a:off x="3895725" y="9563100"/>
          <a:ext cx="6115050" cy="57150"/>
        </a:xfrm>
        <a:prstGeom prst="straightConnector1">
          <a:avLst/>
        </a:prstGeom>
        <a:ln w="63500" cap="flat" cmpd="sng" algn="ctr">
          <a:solidFill>
            <a:schemeClr val="accent3">
              <a:lumMod val="40000"/>
              <a:lumOff val="60000"/>
            </a:schemeClr>
          </a:solidFill>
          <a:prstDash val="solid"/>
          <a:round/>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523875</xdr:colOff>
      <xdr:row>4</xdr:row>
      <xdr:rowOff>114300</xdr:rowOff>
    </xdr:from>
    <xdr:to>
      <xdr:col>15</xdr:col>
      <xdr:colOff>47625</xdr:colOff>
      <xdr:row>49</xdr:row>
      <xdr:rowOff>85725</xdr:rowOff>
    </xdr:to>
    <xdr:cxnSp macro="">
      <xdr:nvCxnSpPr>
        <xdr:cNvPr id="45" name="Straight Arrow Connector 44">
          <a:extLst>
            <a:ext uri="{FF2B5EF4-FFF2-40B4-BE49-F238E27FC236}">
              <a16:creationId xmlns:a16="http://schemas.microsoft.com/office/drawing/2014/main" id="{692F74D6-8D62-2107-7B09-6EA58438974F}"/>
            </a:ext>
          </a:extLst>
        </xdr:cNvPr>
        <xdr:cNvCxnSpPr/>
      </xdr:nvCxnSpPr>
      <xdr:spPr>
        <a:xfrm flipH="1" flipV="1">
          <a:off x="9896475" y="876300"/>
          <a:ext cx="133350" cy="9496425"/>
        </a:xfrm>
        <a:prstGeom prst="straightConnector1">
          <a:avLst/>
        </a:prstGeom>
        <a:ln w="63500" cap="flat" cmpd="sng" algn="ctr">
          <a:solidFill>
            <a:schemeClr val="accent3">
              <a:lumMod val="40000"/>
              <a:lumOff val="60000"/>
            </a:schemeClr>
          </a:solidFill>
          <a:prstDash val="solid"/>
          <a:round/>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115888</xdr:colOff>
      <xdr:row>1</xdr:row>
      <xdr:rowOff>160338</xdr:rowOff>
    </xdr:from>
    <xdr:ext cx="741870" cy="264560"/>
    <xdr:sp macro="" textlink="">
      <xdr:nvSpPr>
        <xdr:cNvPr id="48" name="TextBox 47">
          <a:extLst>
            <a:ext uri="{FF2B5EF4-FFF2-40B4-BE49-F238E27FC236}">
              <a16:creationId xmlns:a16="http://schemas.microsoft.com/office/drawing/2014/main" id="{9D4B6414-9241-4583-B6EA-5B46BDE8154E}"/>
            </a:ext>
          </a:extLst>
        </xdr:cNvPr>
        <xdr:cNvSpPr txBox="1"/>
      </xdr:nvSpPr>
      <xdr:spPr>
        <a:xfrm>
          <a:off x="12107863" y="350838"/>
          <a:ext cx="741870" cy="264560"/>
        </a:xfrm>
        <a:prstGeom prst="rect">
          <a:avLst/>
        </a:prstGeom>
        <a:solidFill>
          <a:schemeClr val="accent3">
            <a:lumMod val="40000"/>
            <a:lumOff val="60000"/>
          </a:schemeClr>
        </a:solidFill>
        <a:ln>
          <a:solidFill>
            <a:schemeClr val="lt1">
              <a:shade val="50000"/>
              <a:lumMod val="10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resources</a:t>
          </a:r>
        </a:p>
      </xdr:txBody>
    </xdr:sp>
    <xdr:clientData/>
  </xdr:oneCellAnchor>
  <xdr:oneCellAnchor>
    <xdr:from>
      <xdr:col>18</xdr:col>
      <xdr:colOff>108402</xdr:colOff>
      <xdr:row>3</xdr:row>
      <xdr:rowOff>158296</xdr:rowOff>
    </xdr:from>
    <xdr:ext cx="490455" cy="264560"/>
    <xdr:sp macro="" textlink="">
      <xdr:nvSpPr>
        <xdr:cNvPr id="49" name="TextBox 48">
          <a:extLst>
            <a:ext uri="{FF2B5EF4-FFF2-40B4-BE49-F238E27FC236}">
              <a16:creationId xmlns:a16="http://schemas.microsoft.com/office/drawing/2014/main" id="{B411596D-B1B7-4D6B-8DCC-6AF3E2E67FA9}"/>
            </a:ext>
          </a:extLst>
        </xdr:cNvPr>
        <xdr:cNvSpPr txBox="1"/>
      </xdr:nvSpPr>
      <xdr:spPr>
        <a:xfrm>
          <a:off x="12100377" y="729796"/>
          <a:ext cx="490455"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i="0" u="sng"/>
            <a:t>flows</a:t>
          </a:r>
        </a:p>
      </xdr:txBody>
    </xdr:sp>
    <xdr:clientData/>
  </xdr:oneCellAnchor>
  <xdr:twoCellAnchor>
    <xdr:from>
      <xdr:col>10</xdr:col>
      <xdr:colOff>161925</xdr:colOff>
      <xdr:row>4</xdr:row>
      <xdr:rowOff>171450</xdr:rowOff>
    </xdr:from>
    <xdr:to>
      <xdr:col>12</xdr:col>
      <xdr:colOff>352425</xdr:colOff>
      <xdr:row>16</xdr:row>
      <xdr:rowOff>85725</xdr:rowOff>
    </xdr:to>
    <xdr:cxnSp macro="">
      <xdr:nvCxnSpPr>
        <xdr:cNvPr id="2" name="Straight Arrow Connector 1">
          <a:extLst>
            <a:ext uri="{FF2B5EF4-FFF2-40B4-BE49-F238E27FC236}">
              <a16:creationId xmlns:a16="http://schemas.microsoft.com/office/drawing/2014/main" id="{2D042F11-4266-4558-9114-E6FF00EE3419}"/>
            </a:ext>
          </a:extLst>
        </xdr:cNvPr>
        <xdr:cNvCxnSpPr/>
      </xdr:nvCxnSpPr>
      <xdr:spPr>
        <a:xfrm flipH="1">
          <a:off x="6972300" y="933450"/>
          <a:ext cx="1409700" cy="2200275"/>
        </a:xfrm>
        <a:prstGeom prst="straightConnector1">
          <a:avLst/>
        </a:prstGeom>
        <a:ln w="63500" cap="flat" cmpd="sng" algn="ctr">
          <a:solidFill>
            <a:schemeClr val="accent3">
              <a:lumMod val="40000"/>
              <a:lumOff val="60000"/>
            </a:schemeClr>
          </a:solidFill>
          <a:prstDash val="solid"/>
          <a:round/>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152400</xdr:colOff>
      <xdr:row>1</xdr:row>
      <xdr:rowOff>9525</xdr:rowOff>
    </xdr:from>
    <xdr:to>
      <xdr:col>13</xdr:col>
      <xdr:colOff>314325</xdr:colOff>
      <xdr:row>27</xdr:row>
      <xdr:rowOff>76200</xdr:rowOff>
    </xdr:to>
    <xdr:graphicFrame macro="">
      <xdr:nvGraphicFramePr>
        <xdr:cNvPr id="3" name="Chart 2">
          <a:extLst>
            <a:ext uri="{FF2B5EF4-FFF2-40B4-BE49-F238E27FC236}">
              <a16:creationId xmlns:a16="http://schemas.microsoft.com/office/drawing/2014/main" id="{2A9F711D-3B35-4BD3-9FEE-5127901C3E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31</xdr:row>
      <xdr:rowOff>0</xdr:rowOff>
    </xdr:from>
    <xdr:to>
      <xdr:col>12</xdr:col>
      <xdr:colOff>399086</xdr:colOff>
      <xdr:row>55</xdr:row>
      <xdr:rowOff>94667</xdr:rowOff>
    </xdr:to>
    <xdr:pic>
      <xdr:nvPicPr>
        <xdr:cNvPr id="2" name="Picture 1">
          <a:extLst>
            <a:ext uri="{FF2B5EF4-FFF2-40B4-BE49-F238E27FC236}">
              <a16:creationId xmlns:a16="http://schemas.microsoft.com/office/drawing/2014/main" id="{E5099C77-8FF7-4D1C-A43B-08369897F7AD}"/>
            </a:ext>
          </a:extLst>
        </xdr:cNvPr>
        <xdr:cNvPicPr>
          <a:picLocks noChangeAspect="1"/>
        </xdr:cNvPicPr>
      </xdr:nvPicPr>
      <xdr:blipFill>
        <a:blip xmlns:r="http://schemas.openxmlformats.org/officeDocument/2006/relationships" r:embed="rId1"/>
        <a:stretch>
          <a:fillRect/>
        </a:stretch>
      </xdr:blipFill>
      <xdr:spPr>
        <a:xfrm>
          <a:off x="0" y="6286500"/>
          <a:ext cx="7714286" cy="4666667"/>
        </a:xfrm>
        <a:prstGeom prst="rect">
          <a:avLst/>
        </a:prstGeom>
      </xdr:spPr>
    </xdr:pic>
    <xdr:clientData/>
  </xdr:twoCellAnchor>
  <xdr:twoCellAnchor editAs="oneCell">
    <xdr:from>
      <xdr:col>0</xdr:col>
      <xdr:colOff>0</xdr:colOff>
      <xdr:row>53</xdr:row>
      <xdr:rowOff>31750</xdr:rowOff>
    </xdr:from>
    <xdr:to>
      <xdr:col>12</xdr:col>
      <xdr:colOff>475276</xdr:colOff>
      <xdr:row>68</xdr:row>
      <xdr:rowOff>175770</xdr:rowOff>
    </xdr:to>
    <xdr:pic>
      <xdr:nvPicPr>
        <xdr:cNvPr id="3" name="Picture 2">
          <a:extLst>
            <a:ext uri="{FF2B5EF4-FFF2-40B4-BE49-F238E27FC236}">
              <a16:creationId xmlns:a16="http://schemas.microsoft.com/office/drawing/2014/main" id="{DA64A4A8-5F9B-4A27-A549-BB4E8B5B84B2}"/>
            </a:ext>
          </a:extLst>
        </xdr:cNvPr>
        <xdr:cNvPicPr>
          <a:picLocks noChangeAspect="1"/>
        </xdr:cNvPicPr>
      </xdr:nvPicPr>
      <xdr:blipFill rotWithShape="1">
        <a:blip xmlns:r="http://schemas.openxmlformats.org/officeDocument/2006/relationships" r:embed="rId2"/>
        <a:srcRect t="15051"/>
        <a:stretch/>
      </xdr:blipFill>
      <xdr:spPr>
        <a:xfrm>
          <a:off x="0" y="10509250"/>
          <a:ext cx="7790476" cy="3001520"/>
        </a:xfrm>
        <a:prstGeom prst="rect">
          <a:avLst/>
        </a:prstGeom>
      </xdr:spPr>
    </xdr:pic>
    <xdr:clientData/>
  </xdr:twoCellAnchor>
  <xdr:twoCellAnchor editAs="oneCell">
    <xdr:from>
      <xdr:col>0</xdr:col>
      <xdr:colOff>69849</xdr:colOff>
      <xdr:row>0</xdr:row>
      <xdr:rowOff>42863</xdr:rowOff>
    </xdr:from>
    <xdr:to>
      <xdr:col>12</xdr:col>
      <xdr:colOff>430837</xdr:colOff>
      <xdr:row>32</xdr:row>
      <xdr:rowOff>146863</xdr:rowOff>
    </xdr:to>
    <xdr:pic>
      <xdr:nvPicPr>
        <xdr:cNvPr id="4" name="Picture 3">
          <a:extLst>
            <a:ext uri="{FF2B5EF4-FFF2-40B4-BE49-F238E27FC236}">
              <a16:creationId xmlns:a16="http://schemas.microsoft.com/office/drawing/2014/main" id="{F8A5B82F-7B3C-43BF-9571-EB4E8F6A1B2F}"/>
            </a:ext>
          </a:extLst>
        </xdr:cNvPr>
        <xdr:cNvPicPr>
          <a:picLocks noChangeAspect="1"/>
        </xdr:cNvPicPr>
      </xdr:nvPicPr>
      <xdr:blipFill>
        <a:blip xmlns:r="http://schemas.openxmlformats.org/officeDocument/2006/relationships" r:embed="rId3"/>
        <a:stretch>
          <a:fillRect/>
        </a:stretch>
      </xdr:blipFill>
      <xdr:spPr>
        <a:xfrm>
          <a:off x="69849" y="503238"/>
          <a:ext cx="7695238" cy="620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6</xdr:col>
      <xdr:colOff>578641</xdr:colOff>
      <xdr:row>41</xdr:row>
      <xdr:rowOff>16669</xdr:rowOff>
    </xdr:from>
    <xdr:to>
      <xdr:col>13</xdr:col>
      <xdr:colOff>100012</xdr:colOff>
      <xdr:row>64</xdr:row>
      <xdr:rowOff>102394</xdr:rowOff>
    </xdr:to>
    <xdr:graphicFrame macro="">
      <xdr:nvGraphicFramePr>
        <xdr:cNvPr id="2" name="Chart 1">
          <a:extLst>
            <a:ext uri="{FF2B5EF4-FFF2-40B4-BE49-F238E27FC236}">
              <a16:creationId xmlns:a16="http://schemas.microsoft.com/office/drawing/2014/main" id="{049A1AA2-E7DF-4DD7-8532-1B91DA64E0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183355</xdr:colOff>
      <xdr:row>41</xdr:row>
      <xdr:rowOff>40481</xdr:rowOff>
    </xdr:from>
    <xdr:to>
      <xdr:col>20</xdr:col>
      <xdr:colOff>566738</xdr:colOff>
      <xdr:row>64</xdr:row>
      <xdr:rowOff>138112</xdr:rowOff>
    </xdr:to>
    <xdr:graphicFrame macro="">
      <xdr:nvGraphicFramePr>
        <xdr:cNvPr id="3" name="Chart 2">
          <a:extLst>
            <a:ext uri="{FF2B5EF4-FFF2-40B4-BE49-F238E27FC236}">
              <a16:creationId xmlns:a16="http://schemas.microsoft.com/office/drawing/2014/main" id="{8DDF46B9-F6AF-4199-AFD8-4544650D7C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41</xdr:row>
      <xdr:rowOff>0</xdr:rowOff>
    </xdr:from>
    <xdr:to>
      <xdr:col>6</xdr:col>
      <xdr:colOff>369096</xdr:colOff>
      <xdr:row>64</xdr:row>
      <xdr:rowOff>85725</xdr:rowOff>
    </xdr:to>
    <xdr:graphicFrame macro="">
      <xdr:nvGraphicFramePr>
        <xdr:cNvPr id="4" name="Chart 3">
          <a:extLst>
            <a:ext uri="{FF2B5EF4-FFF2-40B4-BE49-F238E27FC236}">
              <a16:creationId xmlns:a16="http://schemas.microsoft.com/office/drawing/2014/main" id="{5E3BBC3D-833E-47C1-BF18-9662325C9E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lazarus/Documents/A_xls/Poplar%20project/Poplar_workbook_neilpaper0307_2021_54stump2dem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lcome"/>
      <sheetName val="Fields"/>
      <sheetName val="Inputs"/>
      <sheetName val="Plant"/>
      <sheetName val="Harvest"/>
      <sheetName val="Transport"/>
      <sheetName val="Agronomic"/>
      <sheetName val="Cash flow table, 6 x 6"/>
      <sheetName val="Cash flow table, 8 x 8"/>
      <sheetName val="Cash flow table, 10 x 10"/>
      <sheetName val="Results"/>
      <sheetName val="Scenarios"/>
      <sheetName val="Compare scenarios"/>
      <sheetName val="Graphs"/>
      <sheetName val="Workspace"/>
      <sheetName val="Revisions"/>
    </sheetNames>
    <sheetDataSet>
      <sheetData sheetId="0" refreshError="1"/>
      <sheetData sheetId="1" refreshError="1"/>
      <sheetData sheetId="2">
        <row r="11">
          <cell r="C11">
            <v>9</v>
          </cell>
        </row>
        <row r="12">
          <cell r="C12">
            <v>10</v>
          </cell>
        </row>
        <row r="13">
          <cell r="C13">
            <v>12</v>
          </cell>
        </row>
        <row r="15">
          <cell r="D15" t="str">
            <v>9 years</v>
          </cell>
        </row>
        <row r="23">
          <cell r="I23">
            <v>0</v>
          </cell>
        </row>
      </sheetData>
      <sheetData sheetId="3" refreshError="1"/>
      <sheetData sheetId="4">
        <row r="5">
          <cell r="D5" t="str">
            <v>9 years</v>
          </cell>
        </row>
      </sheetData>
      <sheetData sheetId="5">
        <row r="4">
          <cell r="D4" t="str">
            <v>9 years</v>
          </cell>
        </row>
      </sheetData>
      <sheetData sheetId="6">
        <row r="38">
          <cell r="K38">
            <v>12</v>
          </cell>
        </row>
        <row r="41">
          <cell r="J41">
            <v>9.9999999999999485</v>
          </cell>
        </row>
        <row r="43">
          <cell r="J43">
            <v>9.523809523809474</v>
          </cell>
        </row>
      </sheetData>
      <sheetData sheetId="7">
        <row r="57">
          <cell r="K57">
            <v>-100</v>
          </cell>
        </row>
        <row r="60">
          <cell r="C60">
            <v>-246.42000000000002</v>
          </cell>
        </row>
        <row r="67">
          <cell r="C67">
            <v>-234.09900000000002</v>
          </cell>
        </row>
      </sheetData>
      <sheetData sheetId="8">
        <row r="57">
          <cell r="L57">
            <v>-100</v>
          </cell>
        </row>
        <row r="60">
          <cell r="C60">
            <v>-246.42000000000002</v>
          </cell>
        </row>
        <row r="67">
          <cell r="C67">
            <v>-234.09900000000002</v>
          </cell>
        </row>
      </sheetData>
      <sheetData sheetId="9">
        <row r="57">
          <cell r="N57">
            <v>-100</v>
          </cell>
        </row>
        <row r="60">
          <cell r="C60">
            <v>-246.42000000000002</v>
          </cell>
        </row>
        <row r="67">
          <cell r="C67">
            <v>-234.09900000000002</v>
          </cell>
        </row>
      </sheetData>
      <sheetData sheetId="10">
        <row r="5">
          <cell r="D5">
            <v>-77.289730381013413</v>
          </cell>
          <cell r="E5">
            <v>-70.767196486790283</v>
          </cell>
          <cell r="F5">
            <v>-61.041178879334865</v>
          </cell>
        </row>
        <row r="18">
          <cell r="D18">
            <v>20.6297</v>
          </cell>
          <cell r="E18">
            <v>19.609100000000002</v>
          </cell>
          <cell r="F18">
            <v>18.2057</v>
          </cell>
        </row>
      </sheetData>
      <sheetData sheetId="11" refreshError="1"/>
      <sheetData sheetId="12" refreshError="1"/>
      <sheetData sheetId="13" refreshError="1"/>
      <sheetData sheetId="14">
        <row r="2">
          <cell r="B2" t="b">
            <v>1</v>
          </cell>
        </row>
        <row r="3">
          <cell r="B3" t="b">
            <v>1</v>
          </cell>
        </row>
        <row r="4">
          <cell r="B4" t="b">
            <v>1</v>
          </cell>
        </row>
        <row r="17">
          <cell r="B17">
            <v>9</v>
          </cell>
          <cell r="C17">
            <v>10</v>
          </cell>
          <cell r="D17">
            <v>12</v>
          </cell>
        </row>
        <row r="19">
          <cell r="D19">
            <v>1</v>
          </cell>
        </row>
        <row r="25">
          <cell r="B25">
            <v>1</v>
          </cell>
        </row>
        <row r="42">
          <cell r="C42">
            <v>0</v>
          </cell>
          <cell r="I42">
            <v>3</v>
          </cell>
        </row>
        <row r="43">
          <cell r="A43" t="str">
            <v>Clear entries</v>
          </cell>
          <cell r="C43" t="str">
            <v>(Save new scenario)</v>
          </cell>
        </row>
      </sheetData>
      <sheetData sheetId="1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mailto:wfl9@psu.edu"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E93A6-04E9-42DB-8C9C-AE86309EAAD6}">
  <sheetPr codeName="Sheet15"/>
  <dimension ref="L8:Y36"/>
  <sheetViews>
    <sheetView tabSelected="1" workbookViewId="0"/>
  </sheetViews>
  <sheetFormatPr defaultColWidth="8.7109375" defaultRowHeight="15" x14ac:dyDescent="0.25"/>
  <cols>
    <col min="1" max="12" width="8.7109375" style="428"/>
    <col min="13" max="13" width="10.85546875" style="428" customWidth="1"/>
    <col min="14" max="16384" width="8.7109375" style="428"/>
  </cols>
  <sheetData>
    <row r="8" spans="12:25" x14ac:dyDescent="0.25">
      <c r="Y8" s="693"/>
    </row>
    <row r="10" spans="12:25" x14ac:dyDescent="0.25">
      <c r="L10" s="426"/>
      <c r="M10" s="427"/>
    </row>
    <row r="36" ht="15.75" customHeight="1" x14ac:dyDescent="0.25"/>
  </sheetData>
  <sheetProtection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1BB57-C553-482B-B2FD-D0049606426F}">
  <sheetPr codeName="Sheet2">
    <tabColor rgb="FF00B050"/>
  </sheetPr>
  <dimension ref="B1:S58"/>
  <sheetViews>
    <sheetView workbookViewId="0"/>
  </sheetViews>
  <sheetFormatPr defaultRowHeight="15" x14ac:dyDescent="0.25"/>
  <cols>
    <col min="2" max="2" width="61.28515625" customWidth="1"/>
    <col min="3" max="3" width="12.85546875" bestFit="1" customWidth="1"/>
    <col min="4" max="4" width="14.5703125" bestFit="1" customWidth="1"/>
    <col min="5" max="5" width="2.7109375" customWidth="1"/>
    <col min="6" max="6" width="6" customWidth="1"/>
    <col min="7" max="7" width="18.5703125" customWidth="1"/>
    <col min="8" max="8" width="15.7109375" customWidth="1"/>
    <col min="9" max="9" width="1.7109375" customWidth="1"/>
    <col min="10" max="10" width="6.140625" customWidth="1"/>
    <col min="11" max="11" width="15.42578125" customWidth="1"/>
    <col min="12" max="12" width="15.28515625" customWidth="1"/>
    <col min="13" max="13" width="1.7109375" customWidth="1"/>
    <col min="14" max="14" width="10" customWidth="1"/>
    <col min="15" max="18" width="11.7109375" customWidth="1"/>
  </cols>
  <sheetData>
    <row r="1" spans="2:18" ht="22.5" x14ac:dyDescent="0.3">
      <c r="B1" s="1031" t="s">
        <v>445</v>
      </c>
      <c r="C1" s="1031"/>
      <c r="D1" s="1031"/>
      <c r="E1" s="1031"/>
      <c r="F1" s="1031"/>
      <c r="G1" s="1031"/>
      <c r="H1" s="1031"/>
      <c r="I1" s="1031"/>
      <c r="J1" s="1031"/>
      <c r="K1" s="1031"/>
      <c r="L1" s="1031"/>
      <c r="M1" s="1031"/>
      <c r="N1" s="1031"/>
      <c r="O1" s="1031"/>
      <c r="P1" s="1031"/>
      <c r="Q1" s="1031"/>
      <c r="R1" s="1031"/>
    </row>
    <row r="2" spans="2:18" ht="22.5" x14ac:dyDescent="0.3">
      <c r="B2" s="484"/>
      <c r="C2" s="485"/>
      <c r="D2" s="486"/>
      <c r="E2" s="486"/>
      <c r="F2" s="486"/>
      <c r="G2" s="486"/>
      <c r="H2" s="486"/>
      <c r="I2" s="486"/>
      <c r="J2" s="486"/>
      <c r="K2" s="486"/>
      <c r="L2" s="485"/>
      <c r="M2" s="485"/>
      <c r="N2" s="485"/>
      <c r="O2" s="485"/>
      <c r="P2" s="485"/>
      <c r="Q2" s="485"/>
      <c r="R2" s="485"/>
    </row>
    <row r="3" spans="2:18" ht="15.75" x14ac:dyDescent="0.25">
      <c r="B3" s="487" t="s">
        <v>446</v>
      </c>
      <c r="C3" s="488"/>
      <c r="D3" s="489"/>
      <c r="E3" s="489"/>
      <c r="F3" s="489"/>
      <c r="G3" s="488"/>
      <c r="H3" s="485"/>
      <c r="I3" s="485"/>
      <c r="J3" s="485"/>
      <c r="K3" s="485"/>
      <c r="L3" s="485"/>
      <c r="M3" s="485"/>
      <c r="N3" s="485"/>
      <c r="O3" s="485"/>
      <c r="P3" s="485"/>
      <c r="Q3" s="485"/>
      <c r="R3" s="485"/>
    </row>
    <row r="4" spans="2:18" ht="15.75" x14ac:dyDescent="0.25">
      <c r="B4" s="490" t="s">
        <v>447</v>
      </c>
      <c r="C4" s="491">
        <f>Switchgrass_Key_Inputs!D27</f>
        <v>6</v>
      </c>
      <c r="D4" s="492"/>
      <c r="E4" s="493"/>
      <c r="F4" s="493"/>
      <c r="G4" s="494"/>
      <c r="H4" s="493"/>
      <c r="I4" s="493"/>
      <c r="J4" s="493"/>
      <c r="K4" s="492"/>
      <c r="L4" s="495"/>
      <c r="M4" s="495"/>
      <c r="N4" s="495"/>
      <c r="O4" s="486"/>
      <c r="P4" s="486"/>
      <c r="Q4" s="492"/>
      <c r="R4" s="493"/>
    </row>
    <row r="5" spans="2:18" ht="15.75" x14ac:dyDescent="0.25">
      <c r="B5" s="490" t="s">
        <v>448</v>
      </c>
      <c r="C5" s="496">
        <f>IF(Switchgrass_Key_Inputs!D29="",1500,Switchgrass_Key_Inputs!D29)</f>
        <v>1250</v>
      </c>
      <c r="D5" s="492"/>
      <c r="E5" s="493"/>
      <c r="F5" s="493"/>
      <c r="G5" s="494"/>
      <c r="H5" s="493"/>
      <c r="I5" s="493"/>
      <c r="J5" s="493"/>
      <c r="K5" s="492"/>
      <c r="L5" s="486"/>
      <c r="M5" s="486"/>
      <c r="N5" s="486"/>
      <c r="O5" s="486"/>
      <c r="P5" s="486"/>
      <c r="Q5" s="492"/>
      <c r="R5" s="493"/>
    </row>
    <row r="6" spans="2:18" ht="15.75" x14ac:dyDescent="0.25">
      <c r="B6" s="490" t="s">
        <v>449</v>
      </c>
      <c r="C6" s="491">
        <f>Switchgrass_Key_Inputs!D24</f>
        <v>10</v>
      </c>
      <c r="D6" s="492"/>
      <c r="E6" s="493"/>
      <c r="F6" s="493"/>
      <c r="G6" s="494"/>
      <c r="H6" s="493"/>
      <c r="I6" s="493"/>
      <c r="J6" s="493"/>
      <c r="K6" s="492"/>
      <c r="L6" s="486"/>
      <c r="M6" s="486"/>
      <c r="N6" s="486"/>
      <c r="O6" s="486"/>
      <c r="P6" s="486"/>
      <c r="Q6" s="492"/>
      <c r="R6" s="493"/>
    </row>
    <row r="7" spans="2:18" ht="15.75" x14ac:dyDescent="0.25">
      <c r="B7" s="497" t="s">
        <v>450</v>
      </c>
      <c r="C7" s="498">
        <f>ROUND(2000*C4/C5,1)</f>
        <v>9.6</v>
      </c>
      <c r="D7" s="499"/>
      <c r="E7" s="499"/>
      <c r="F7" s="499"/>
      <c r="G7" s="500"/>
      <c r="H7" s="493"/>
      <c r="I7" s="493"/>
      <c r="J7" s="493"/>
      <c r="K7" s="492"/>
      <c r="L7" s="486"/>
      <c r="M7" s="486"/>
      <c r="N7" s="486"/>
      <c r="O7" s="486"/>
      <c r="P7" s="486"/>
      <c r="Q7" s="492"/>
      <c r="R7" s="493"/>
    </row>
    <row r="8" spans="2:18" ht="15.75" x14ac:dyDescent="0.25">
      <c r="B8" s="501"/>
      <c r="C8" s="501"/>
      <c r="D8" s="493"/>
      <c r="E8" s="493"/>
      <c r="F8" s="493"/>
      <c r="G8" s="493"/>
      <c r="H8" s="493"/>
      <c r="I8" s="493"/>
      <c r="J8" s="493"/>
      <c r="K8" s="492"/>
      <c r="L8" s="486"/>
      <c r="M8" s="486"/>
      <c r="N8" s="486"/>
      <c r="O8" s="486"/>
      <c r="P8" s="486"/>
      <c r="Q8" s="492"/>
      <c r="R8" s="493"/>
    </row>
    <row r="9" spans="2:18" ht="15.75" x14ac:dyDescent="0.25">
      <c r="B9" s="502" t="s">
        <v>451</v>
      </c>
      <c r="C9" s="503"/>
      <c r="D9" s="503"/>
      <c r="E9" s="503"/>
      <c r="F9" s="503"/>
      <c r="G9" s="503"/>
      <c r="H9" s="503"/>
      <c r="I9" s="503"/>
      <c r="J9" s="503"/>
      <c r="K9" s="503"/>
      <c r="L9" s="503"/>
      <c r="M9" s="503"/>
      <c r="N9" s="503"/>
      <c r="O9" s="503"/>
      <c r="P9" s="485"/>
      <c r="Q9" s="485"/>
      <c r="R9" s="485"/>
    </row>
    <row r="10" spans="2:18" ht="78.75" x14ac:dyDescent="0.25">
      <c r="B10" s="504"/>
      <c r="C10" s="504"/>
      <c r="D10" s="505" t="s">
        <v>452</v>
      </c>
      <c r="E10" s="506"/>
      <c r="F10" s="506"/>
      <c r="G10" s="505" t="s">
        <v>453</v>
      </c>
      <c r="H10" s="505" t="s">
        <v>454</v>
      </c>
      <c r="I10" s="506"/>
      <c r="J10" s="506"/>
      <c r="K10" s="505" t="s">
        <v>455</v>
      </c>
      <c r="L10" s="505" t="s">
        <v>456</v>
      </c>
      <c r="M10" s="505"/>
      <c r="N10" s="505"/>
      <c r="O10" s="505" t="s">
        <v>457</v>
      </c>
      <c r="P10" s="505" t="s">
        <v>458</v>
      </c>
      <c r="Q10" s="505" t="str">
        <f>"Units in Full Production Years 3 - "&amp;C6</f>
        <v>Units in Full Production Years 3 - 10</v>
      </c>
      <c r="R10" s="505" t="str">
        <f>"Costs in Full Production Years 3 - "&amp;C6</f>
        <v>Costs in Full Production Years 3 - 10</v>
      </c>
    </row>
    <row r="11" spans="2:18" ht="15.75" x14ac:dyDescent="0.25">
      <c r="B11" s="504" t="s">
        <v>460</v>
      </c>
      <c r="C11" s="504"/>
      <c r="D11" s="511"/>
      <c r="E11" s="507"/>
      <c r="F11" s="1032"/>
      <c r="G11" s="510"/>
      <c r="H11" s="493"/>
      <c r="I11" s="507"/>
      <c r="J11" s="1032"/>
      <c r="K11" s="510"/>
      <c r="L11" s="493"/>
      <c r="M11" s="493"/>
      <c r="N11" s="1032"/>
      <c r="O11" s="510"/>
      <c r="P11" s="493"/>
      <c r="Q11" s="510"/>
      <c r="R11" s="493"/>
    </row>
    <row r="12" spans="2:18" ht="15.75" x14ac:dyDescent="0.25">
      <c r="B12" s="512" t="s">
        <v>461</v>
      </c>
      <c r="C12" s="504" t="s">
        <v>462</v>
      </c>
      <c r="D12" s="513">
        <v>24</v>
      </c>
      <c r="E12" s="507"/>
      <c r="F12" s="1032"/>
      <c r="G12" s="514">
        <v>0</v>
      </c>
      <c r="H12" s="507">
        <f t="shared" ref="H12:H16" si="0">G12*$D12</f>
        <v>0</v>
      </c>
      <c r="I12" s="507"/>
      <c r="J12" s="1032"/>
      <c r="K12" s="514">
        <v>0</v>
      </c>
      <c r="L12" s="507">
        <f t="shared" ref="L12:P16" si="1">K12*$D12</f>
        <v>0</v>
      </c>
      <c r="M12" s="507"/>
      <c r="N12" s="1032"/>
      <c r="O12" s="514">
        <v>0</v>
      </c>
      <c r="P12" s="507">
        <f t="shared" si="1"/>
        <v>0</v>
      </c>
      <c r="Q12" s="514">
        <v>0</v>
      </c>
      <c r="R12" s="507">
        <f t="shared" ref="R12:R16" si="2">Q12*$D12</f>
        <v>0</v>
      </c>
    </row>
    <row r="13" spans="2:18" ht="15.75" x14ac:dyDescent="0.25">
      <c r="B13" s="515" t="s">
        <v>463</v>
      </c>
      <c r="C13" s="504" t="s">
        <v>462</v>
      </c>
      <c r="D13" s="513">
        <v>16.2</v>
      </c>
      <c r="E13" s="507"/>
      <c r="F13" s="1032"/>
      <c r="G13" s="514">
        <v>0</v>
      </c>
      <c r="H13" s="507">
        <f t="shared" si="0"/>
        <v>0</v>
      </c>
      <c r="I13" s="507"/>
      <c r="J13" s="1032"/>
      <c r="K13" s="514">
        <v>1</v>
      </c>
      <c r="L13" s="507">
        <f t="shared" si="1"/>
        <v>16.2</v>
      </c>
      <c r="M13" s="507"/>
      <c r="N13" s="1032"/>
      <c r="O13" s="514">
        <v>0</v>
      </c>
      <c r="P13" s="507">
        <f t="shared" si="1"/>
        <v>0</v>
      </c>
      <c r="Q13" s="514">
        <v>0</v>
      </c>
      <c r="R13" s="507">
        <f t="shared" si="2"/>
        <v>0</v>
      </c>
    </row>
    <row r="14" spans="2:18" ht="15.75" x14ac:dyDescent="0.25">
      <c r="B14" s="515" t="s">
        <v>464</v>
      </c>
      <c r="C14" s="504" t="s">
        <v>462</v>
      </c>
      <c r="D14" s="513">
        <v>15.65</v>
      </c>
      <c r="E14" s="507"/>
      <c r="F14" s="1032"/>
      <c r="G14" s="514">
        <v>0</v>
      </c>
      <c r="H14" s="507">
        <f t="shared" si="0"/>
        <v>0</v>
      </c>
      <c r="I14" s="507"/>
      <c r="J14" s="1032"/>
      <c r="K14" s="514">
        <v>2</v>
      </c>
      <c r="L14" s="507">
        <f t="shared" si="1"/>
        <v>31.3</v>
      </c>
      <c r="M14" s="507"/>
      <c r="N14" s="1032"/>
      <c r="O14" s="514">
        <v>0</v>
      </c>
      <c r="P14" s="507">
        <f t="shared" si="1"/>
        <v>0</v>
      </c>
      <c r="Q14" s="514">
        <v>0</v>
      </c>
      <c r="R14" s="507">
        <f t="shared" si="2"/>
        <v>0</v>
      </c>
    </row>
    <row r="15" spans="2:18" ht="15.75" x14ac:dyDescent="0.25">
      <c r="B15" s="515" t="s">
        <v>465</v>
      </c>
      <c r="C15" s="504" t="s">
        <v>459</v>
      </c>
      <c r="D15" s="516">
        <v>0</v>
      </c>
      <c r="E15" s="517"/>
      <c r="F15" s="1032"/>
      <c r="G15" s="514">
        <v>1</v>
      </c>
      <c r="H15" s="507">
        <f t="shared" si="0"/>
        <v>0</v>
      </c>
      <c r="I15" s="517"/>
      <c r="J15" s="1032"/>
      <c r="K15" s="514">
        <v>0</v>
      </c>
      <c r="L15" s="507">
        <f t="shared" si="1"/>
        <v>0</v>
      </c>
      <c r="M15" s="507"/>
      <c r="N15" s="1032"/>
      <c r="O15" s="514">
        <v>0</v>
      </c>
      <c r="P15" s="507">
        <f t="shared" si="1"/>
        <v>0</v>
      </c>
      <c r="Q15" s="514">
        <v>0</v>
      </c>
      <c r="R15" s="507">
        <f t="shared" si="2"/>
        <v>0</v>
      </c>
    </row>
    <row r="16" spans="2:18" ht="15.75" x14ac:dyDescent="0.25">
      <c r="B16" s="515" t="s">
        <v>466</v>
      </c>
      <c r="C16" s="504" t="s">
        <v>459</v>
      </c>
      <c r="D16" s="516">
        <v>31.39</v>
      </c>
      <c r="E16" s="517"/>
      <c r="F16" s="1032"/>
      <c r="G16" s="514">
        <v>1</v>
      </c>
      <c r="H16" s="518">
        <f t="shared" si="0"/>
        <v>31.39</v>
      </c>
      <c r="I16" s="517"/>
      <c r="J16" s="1032"/>
      <c r="K16" s="514">
        <v>0</v>
      </c>
      <c r="L16" s="518">
        <f t="shared" si="1"/>
        <v>0</v>
      </c>
      <c r="M16" s="507"/>
      <c r="N16" s="1032"/>
      <c r="O16" s="514">
        <v>0</v>
      </c>
      <c r="P16" s="518">
        <f t="shared" si="1"/>
        <v>0</v>
      </c>
      <c r="Q16" s="514">
        <v>0</v>
      </c>
      <c r="R16" s="518">
        <f t="shared" si="2"/>
        <v>0</v>
      </c>
    </row>
    <row r="17" spans="2:19" ht="15.75" x14ac:dyDescent="0.25">
      <c r="B17" s="492" t="s">
        <v>467</v>
      </c>
      <c r="C17" s="504"/>
      <c r="D17" s="519"/>
      <c r="E17" s="517"/>
      <c r="F17" s="1032"/>
      <c r="G17" s="510"/>
      <c r="H17" s="509">
        <f>H12+H13+H14+H15+H16</f>
        <v>31.39</v>
      </c>
      <c r="I17" s="517"/>
      <c r="J17" s="1032"/>
      <c r="K17" s="510"/>
      <c r="L17" s="509">
        <f>L12+L13+L14+L15+L16</f>
        <v>47.5</v>
      </c>
      <c r="M17" s="509"/>
      <c r="N17" s="1032"/>
      <c r="O17" s="510"/>
      <c r="P17" s="509">
        <f>P12+P13+P14+P15+P16</f>
        <v>0</v>
      </c>
      <c r="Q17" s="510"/>
      <c r="R17" s="509">
        <f>R12+R13+R14+R15+R16</f>
        <v>0</v>
      </c>
    </row>
    <row r="18" spans="2:19" ht="15.75" x14ac:dyDescent="0.25">
      <c r="B18" s="492"/>
      <c r="C18" s="504"/>
      <c r="D18" s="519"/>
      <c r="E18" s="517"/>
      <c r="F18" s="1032"/>
      <c r="G18" s="510"/>
      <c r="H18" s="509"/>
      <c r="I18" s="517"/>
      <c r="J18" s="1032"/>
      <c r="K18" s="510"/>
      <c r="L18" s="509"/>
      <c r="M18" s="509"/>
      <c r="N18" s="1032"/>
      <c r="O18" s="510"/>
      <c r="P18" s="509"/>
      <c r="Q18" s="510"/>
      <c r="R18" s="509"/>
    </row>
    <row r="19" spans="2:19" ht="15.75" x14ac:dyDescent="0.25">
      <c r="B19" s="504" t="s">
        <v>468</v>
      </c>
      <c r="C19" s="504"/>
      <c r="D19" s="520"/>
      <c r="E19" s="509"/>
      <c r="F19" s="1032"/>
      <c r="G19" s="521"/>
      <c r="H19" s="509"/>
      <c r="I19" s="509"/>
      <c r="J19" s="1032"/>
      <c r="K19" s="521"/>
      <c r="L19" s="509"/>
      <c r="M19" s="509"/>
      <c r="N19" s="1032"/>
      <c r="O19" s="521"/>
      <c r="P19" s="509"/>
      <c r="Q19" s="510"/>
      <c r="R19" s="509"/>
    </row>
    <row r="20" spans="2:19" ht="15.75" x14ac:dyDescent="0.25">
      <c r="B20" s="515" t="s">
        <v>463</v>
      </c>
      <c r="C20" s="504" t="s">
        <v>462</v>
      </c>
      <c r="D20" s="513">
        <v>14.2</v>
      </c>
      <c r="E20" s="507"/>
      <c r="F20" s="1032"/>
      <c r="G20" s="514">
        <v>0</v>
      </c>
      <c r="H20" s="507">
        <f t="shared" ref="H20:H24" si="3">G20*$D20</f>
        <v>0</v>
      </c>
      <c r="I20" s="507"/>
      <c r="J20" s="1032"/>
      <c r="K20" s="514">
        <v>0</v>
      </c>
      <c r="L20" s="507">
        <f t="shared" ref="L20:P24" si="4">K20*$D20</f>
        <v>0</v>
      </c>
      <c r="M20" s="507"/>
      <c r="N20" s="1032"/>
      <c r="O20" s="514">
        <v>0</v>
      </c>
      <c r="P20" s="507">
        <f t="shared" si="4"/>
        <v>0</v>
      </c>
      <c r="Q20" s="514">
        <v>0</v>
      </c>
      <c r="R20" s="507">
        <f t="shared" ref="R20:R24" si="5">Q20*$D20</f>
        <v>0</v>
      </c>
    </row>
    <row r="21" spans="2:19" ht="15.75" x14ac:dyDescent="0.25">
      <c r="B21" s="515" t="s">
        <v>464</v>
      </c>
      <c r="C21" s="504" t="s">
        <v>462</v>
      </c>
      <c r="D21" s="513">
        <v>14.6</v>
      </c>
      <c r="E21" s="507"/>
      <c r="F21" s="1032"/>
      <c r="G21" s="514">
        <v>0</v>
      </c>
      <c r="H21" s="507">
        <f t="shared" si="3"/>
        <v>0</v>
      </c>
      <c r="I21" s="507"/>
      <c r="J21" s="1032"/>
      <c r="K21" s="514">
        <v>0</v>
      </c>
      <c r="L21" s="507">
        <f t="shared" si="4"/>
        <v>0</v>
      </c>
      <c r="M21" s="507"/>
      <c r="N21" s="1032"/>
      <c r="O21" s="514">
        <v>0</v>
      </c>
      <c r="P21" s="507">
        <f t="shared" si="4"/>
        <v>0</v>
      </c>
      <c r="Q21" s="514">
        <v>0</v>
      </c>
      <c r="R21" s="507">
        <f t="shared" si="5"/>
        <v>0</v>
      </c>
    </row>
    <row r="22" spans="2:19" ht="15.75" x14ac:dyDescent="0.25">
      <c r="B22" s="515" t="s">
        <v>469</v>
      </c>
      <c r="C22" s="504" t="s">
        <v>462</v>
      </c>
      <c r="D22" s="513">
        <v>6.15</v>
      </c>
      <c r="E22" s="507"/>
      <c r="F22" s="1032"/>
      <c r="G22" s="514">
        <v>1</v>
      </c>
      <c r="H22" s="507">
        <f t="shared" si="3"/>
        <v>6.15</v>
      </c>
      <c r="I22" s="507"/>
      <c r="J22" s="1032"/>
      <c r="K22" s="514">
        <v>0</v>
      </c>
      <c r="L22" s="507">
        <f t="shared" si="4"/>
        <v>0</v>
      </c>
      <c r="M22" s="507"/>
      <c r="N22" s="1032"/>
      <c r="O22" s="514">
        <v>1</v>
      </c>
      <c r="P22" s="507">
        <f t="shared" si="4"/>
        <v>6.15</v>
      </c>
      <c r="Q22" s="514">
        <v>1</v>
      </c>
      <c r="R22" s="507">
        <f t="shared" si="5"/>
        <v>6.15</v>
      </c>
    </row>
    <row r="23" spans="2:19" ht="15.75" x14ac:dyDescent="0.25">
      <c r="B23" s="515" t="s">
        <v>470</v>
      </c>
      <c r="C23" s="504" t="s">
        <v>462</v>
      </c>
      <c r="D23" s="513">
        <v>7.8</v>
      </c>
      <c r="E23" s="507"/>
      <c r="F23" s="1032"/>
      <c r="G23" s="522">
        <v>0</v>
      </c>
      <c r="H23" s="507">
        <f t="shared" si="3"/>
        <v>0</v>
      </c>
      <c r="I23" s="507"/>
      <c r="J23" s="1032"/>
      <c r="K23" s="522">
        <v>2</v>
      </c>
      <c r="L23" s="507">
        <f t="shared" si="4"/>
        <v>15.6</v>
      </c>
      <c r="M23" s="507"/>
      <c r="N23" s="1032"/>
      <c r="O23" s="522">
        <v>1</v>
      </c>
      <c r="P23" s="507">
        <f t="shared" si="4"/>
        <v>7.8</v>
      </c>
      <c r="Q23" s="522">
        <v>1</v>
      </c>
      <c r="R23" s="507">
        <f t="shared" si="5"/>
        <v>7.8</v>
      </c>
    </row>
    <row r="24" spans="2:19" ht="15.75" x14ac:dyDescent="0.25">
      <c r="B24" s="515" t="s">
        <v>471</v>
      </c>
      <c r="C24" s="523" t="s">
        <v>462</v>
      </c>
      <c r="D24" s="513">
        <v>18.899999999999999</v>
      </c>
      <c r="E24" s="507"/>
      <c r="F24" s="1032"/>
      <c r="G24" s="514">
        <v>0</v>
      </c>
      <c r="H24" s="507">
        <f t="shared" si="3"/>
        <v>0</v>
      </c>
      <c r="I24" s="507"/>
      <c r="J24" s="1032"/>
      <c r="K24" s="514">
        <v>1</v>
      </c>
      <c r="L24" s="507">
        <f t="shared" si="4"/>
        <v>18.899999999999999</v>
      </c>
      <c r="M24" s="507"/>
      <c r="N24" s="1032"/>
      <c r="O24" s="514">
        <v>1</v>
      </c>
      <c r="P24" s="507">
        <f t="shared" si="4"/>
        <v>18.899999999999999</v>
      </c>
      <c r="Q24" s="514">
        <v>0</v>
      </c>
      <c r="R24" s="507">
        <f t="shared" si="5"/>
        <v>0</v>
      </c>
    </row>
    <row r="25" spans="2:19" ht="15.75" x14ac:dyDescent="0.25">
      <c r="B25" s="523" t="s">
        <v>472</v>
      </c>
      <c r="C25" s="523"/>
      <c r="D25" s="524"/>
      <c r="E25" s="493"/>
      <c r="F25" s="1032"/>
      <c r="G25" s="510"/>
      <c r="H25" s="509">
        <f>SUM(H20:H24)</f>
        <v>6.15</v>
      </c>
      <c r="I25" s="493"/>
      <c r="J25" s="1032"/>
      <c r="K25" s="510"/>
      <c r="L25" s="509">
        <f>SUM(L20:L24)</f>
        <v>34.5</v>
      </c>
      <c r="M25" s="509"/>
      <c r="N25" s="1032"/>
      <c r="O25" s="520"/>
      <c r="P25" s="509">
        <f>SUM(P20:P24)</f>
        <v>32.849999999999994</v>
      </c>
      <c r="Q25" s="520"/>
      <c r="R25" s="509">
        <f>SUM(R20:R24)</f>
        <v>13.95</v>
      </c>
    </row>
    <row r="26" spans="2:19" ht="15.75" x14ac:dyDescent="0.25">
      <c r="B26" s="523"/>
      <c r="C26" s="523"/>
      <c r="D26" s="524"/>
      <c r="E26" s="493"/>
      <c r="F26" s="1032"/>
      <c r="G26" s="510"/>
      <c r="H26" s="509"/>
      <c r="I26" s="493"/>
      <c r="J26" s="1032"/>
      <c r="K26" s="510"/>
      <c r="L26" s="509"/>
      <c r="M26" s="509"/>
      <c r="N26" s="1032"/>
      <c r="O26" s="520"/>
      <c r="P26" s="509"/>
      <c r="Q26" s="520"/>
      <c r="R26" s="509"/>
    </row>
    <row r="27" spans="2:19" ht="15.75" x14ac:dyDescent="0.25">
      <c r="B27" s="523" t="s">
        <v>8</v>
      </c>
      <c r="C27" s="523"/>
      <c r="D27" s="525"/>
      <c r="E27" s="506"/>
      <c r="F27" s="1032"/>
      <c r="G27" s="521"/>
      <c r="H27" s="509"/>
      <c r="I27" s="506"/>
      <c r="J27" s="1032"/>
      <c r="K27" s="521"/>
      <c r="L27" s="509"/>
      <c r="M27" s="509"/>
      <c r="N27" s="1032"/>
      <c r="O27" s="521"/>
      <c r="P27" s="509"/>
      <c r="Q27" s="521"/>
      <c r="R27" s="509"/>
    </row>
    <row r="28" spans="2:19" ht="15.75" x14ac:dyDescent="0.25">
      <c r="B28" s="515" t="s">
        <v>473</v>
      </c>
      <c r="C28" s="523" t="s">
        <v>474</v>
      </c>
      <c r="D28" s="513">
        <v>19</v>
      </c>
      <c r="E28" s="507"/>
      <c r="F28" s="1032"/>
      <c r="G28" s="514">
        <v>0</v>
      </c>
      <c r="H28" s="507">
        <f t="shared" ref="H28:H29" si="6">G28*$D28</f>
        <v>0</v>
      </c>
      <c r="I28" s="507"/>
      <c r="J28" s="1032"/>
      <c r="K28" s="514">
        <v>0.2</v>
      </c>
      <c r="L28" s="507">
        <f t="shared" ref="L28:P29" si="7">K28*$D28</f>
        <v>3.8000000000000003</v>
      </c>
      <c r="M28" s="507"/>
      <c r="N28" s="1032"/>
      <c r="O28" s="514">
        <v>0</v>
      </c>
      <c r="P28" s="507">
        <f t="shared" si="7"/>
        <v>0</v>
      </c>
      <c r="Q28" s="514">
        <v>0</v>
      </c>
      <c r="R28" s="507">
        <f t="shared" ref="R28:R29" si="8">Q28*$D28</f>
        <v>0</v>
      </c>
    </row>
    <row r="29" spans="2:19" ht="15.75" x14ac:dyDescent="0.25">
      <c r="B29" s="515" t="s">
        <v>475</v>
      </c>
      <c r="C29" s="523" t="s">
        <v>476</v>
      </c>
      <c r="D29" s="513">
        <v>16</v>
      </c>
      <c r="E29" s="507"/>
      <c r="F29" s="1032"/>
      <c r="G29" s="522">
        <v>0</v>
      </c>
      <c r="H29" s="507">
        <f t="shared" si="6"/>
        <v>0</v>
      </c>
      <c r="I29" s="507"/>
      <c r="J29" s="1032"/>
      <c r="K29" s="522">
        <v>7</v>
      </c>
      <c r="L29" s="507">
        <f t="shared" si="7"/>
        <v>112</v>
      </c>
      <c r="M29" s="507"/>
      <c r="N29" s="1032"/>
      <c r="O29" s="514">
        <f>K29*0.25</f>
        <v>1.75</v>
      </c>
      <c r="P29" s="507">
        <f t="shared" si="7"/>
        <v>28</v>
      </c>
      <c r="Q29" s="514">
        <v>0</v>
      </c>
      <c r="R29" s="507">
        <f t="shared" si="8"/>
        <v>0</v>
      </c>
    </row>
    <row r="30" spans="2:19" ht="15.75" x14ac:dyDescent="0.25">
      <c r="B30" s="515" t="s">
        <v>477</v>
      </c>
      <c r="C30" s="523"/>
      <c r="D30" s="519"/>
      <c r="E30" s="517"/>
      <c r="F30" s="1032"/>
      <c r="G30" s="524"/>
      <c r="H30" s="507"/>
      <c r="I30" s="517"/>
      <c r="J30" s="1032"/>
      <c r="K30" s="524"/>
      <c r="L30" s="507"/>
      <c r="M30" s="507"/>
      <c r="N30" s="1032"/>
      <c r="O30" s="524"/>
      <c r="P30" s="507"/>
      <c r="Q30" s="524"/>
      <c r="R30" s="507"/>
    </row>
    <row r="31" spans="2:19" ht="15.75" x14ac:dyDescent="0.25">
      <c r="B31" s="526" t="s">
        <v>478</v>
      </c>
      <c r="C31" s="523" t="s">
        <v>479</v>
      </c>
      <c r="D31" s="516">
        <v>0.89</v>
      </c>
      <c r="E31" s="517"/>
      <c r="F31" s="1032"/>
      <c r="G31" s="514">
        <v>0</v>
      </c>
      <c r="H31" s="507">
        <f t="shared" ref="H31:H34" si="9">G31*$D31</f>
        <v>0</v>
      </c>
      <c r="I31" s="517"/>
      <c r="J31" s="1032"/>
      <c r="K31" s="514">
        <f>10*Switchgrass_Key_Inputs!D25</f>
        <v>15</v>
      </c>
      <c r="L31" s="507">
        <f t="shared" ref="L31:P34" si="10">K31*$D31</f>
        <v>13.35</v>
      </c>
      <c r="M31" s="507"/>
      <c r="N31" s="1032"/>
      <c r="O31" s="522">
        <f>10*Switchgrass_Key_Inputs!D26</f>
        <v>30</v>
      </c>
      <c r="P31" s="507">
        <f t="shared" si="10"/>
        <v>26.7</v>
      </c>
      <c r="Q31" s="514">
        <f>10*Switchgrass_Key_Inputs!D27</f>
        <v>60</v>
      </c>
      <c r="R31" s="507">
        <f t="shared" ref="R31:R34" si="11">Q31*$D31</f>
        <v>53.4</v>
      </c>
      <c r="S31">
        <f>(G31*$G$58+K31+O31+Q31*($G$54-3-$G$58))/$G$54</f>
        <v>46.5</v>
      </c>
    </row>
    <row r="32" spans="2:19" ht="15.75" x14ac:dyDescent="0.25">
      <c r="B32" s="526" t="s">
        <v>578</v>
      </c>
      <c r="C32" s="523" t="s">
        <v>479</v>
      </c>
      <c r="D32" s="516">
        <v>0.79</v>
      </c>
      <c r="E32" s="517"/>
      <c r="F32" s="1032"/>
      <c r="G32" s="514">
        <v>0</v>
      </c>
      <c r="H32" s="507">
        <f t="shared" si="9"/>
        <v>0</v>
      </c>
      <c r="I32" s="517"/>
      <c r="J32" s="1032"/>
      <c r="K32" s="514">
        <v>30</v>
      </c>
      <c r="L32" s="507">
        <f t="shared" si="10"/>
        <v>23.700000000000003</v>
      </c>
      <c r="M32" s="507"/>
      <c r="N32" s="1032"/>
      <c r="O32" s="522">
        <v>30</v>
      </c>
      <c r="P32" s="507">
        <f t="shared" si="10"/>
        <v>23.700000000000003</v>
      </c>
      <c r="Q32" s="514">
        <v>30</v>
      </c>
      <c r="R32" s="507">
        <f t="shared" si="11"/>
        <v>23.700000000000003</v>
      </c>
      <c r="S32">
        <f t="shared" ref="S32:S33" si="12">(G32*$G$58+K32+O32+Q32*($G$54-3-$G$58))/$G$54</f>
        <v>27</v>
      </c>
    </row>
    <row r="33" spans="2:19" ht="15.75" x14ac:dyDescent="0.25">
      <c r="B33" s="526" t="s">
        <v>480</v>
      </c>
      <c r="C33" s="523" t="s">
        <v>479</v>
      </c>
      <c r="D33" s="516">
        <v>0.73</v>
      </c>
      <c r="E33" s="517"/>
      <c r="F33" s="1032"/>
      <c r="G33" s="514">
        <v>0</v>
      </c>
      <c r="H33" s="507">
        <f t="shared" si="9"/>
        <v>0</v>
      </c>
      <c r="I33" s="517"/>
      <c r="J33" s="1032"/>
      <c r="K33" s="514">
        <v>70</v>
      </c>
      <c r="L33" s="507">
        <f t="shared" si="10"/>
        <v>51.1</v>
      </c>
      <c r="M33" s="507"/>
      <c r="N33" s="1032"/>
      <c r="O33" s="522">
        <v>70</v>
      </c>
      <c r="P33" s="507">
        <f t="shared" si="10"/>
        <v>51.1</v>
      </c>
      <c r="Q33" s="514">
        <v>70</v>
      </c>
      <c r="R33" s="507">
        <f t="shared" si="11"/>
        <v>51.1</v>
      </c>
      <c r="S33">
        <f t="shared" si="12"/>
        <v>63</v>
      </c>
    </row>
    <row r="34" spans="2:19" ht="15.75" x14ac:dyDescent="0.25">
      <c r="B34" s="515" t="s">
        <v>481</v>
      </c>
      <c r="C34" s="523" t="s">
        <v>482</v>
      </c>
      <c r="D34" s="516">
        <v>29</v>
      </c>
      <c r="E34" s="517"/>
      <c r="F34" s="1032"/>
      <c r="G34" s="522">
        <v>0</v>
      </c>
      <c r="H34" s="507">
        <f t="shared" si="9"/>
        <v>0</v>
      </c>
      <c r="I34" s="517"/>
      <c r="J34" s="1032"/>
      <c r="K34" s="522">
        <v>0</v>
      </c>
      <c r="L34" s="507">
        <f t="shared" si="10"/>
        <v>0</v>
      </c>
      <c r="M34" s="507"/>
      <c r="N34" s="1032"/>
      <c r="O34" s="522">
        <v>0</v>
      </c>
      <c r="P34" s="507">
        <f t="shared" si="10"/>
        <v>0</v>
      </c>
      <c r="Q34" s="522">
        <v>0</v>
      </c>
      <c r="R34" s="507">
        <f t="shared" si="11"/>
        <v>0</v>
      </c>
    </row>
    <row r="35" spans="2:19" ht="15.75" x14ac:dyDescent="0.25">
      <c r="B35" s="515" t="s">
        <v>483</v>
      </c>
      <c r="C35" s="523"/>
      <c r="D35" s="519"/>
      <c r="E35" s="517"/>
      <c r="F35" s="1032"/>
      <c r="G35" s="527"/>
      <c r="H35" s="517"/>
      <c r="I35" s="517"/>
      <c r="J35" s="1032"/>
      <c r="K35" s="527"/>
      <c r="L35" s="517"/>
      <c r="M35" s="517"/>
      <c r="N35" s="1032"/>
      <c r="O35" s="528"/>
      <c r="P35" s="517"/>
      <c r="Q35" s="527"/>
      <c r="R35" s="517"/>
    </row>
    <row r="36" spans="2:19" ht="15.75" x14ac:dyDescent="0.25">
      <c r="B36" s="526" t="s">
        <v>484</v>
      </c>
      <c r="C36" s="523" t="s">
        <v>485</v>
      </c>
      <c r="D36" s="513">
        <v>0.21</v>
      </c>
      <c r="E36" s="517"/>
      <c r="F36" s="1032"/>
      <c r="G36" s="514">
        <v>32</v>
      </c>
      <c r="H36" s="507">
        <f t="shared" ref="H36:H38" si="13">G36*$D36</f>
        <v>6.72</v>
      </c>
      <c r="I36" s="517"/>
      <c r="J36" s="1032"/>
      <c r="K36" s="514">
        <v>0</v>
      </c>
      <c r="L36" s="507">
        <f t="shared" ref="L36:P38" si="14">K36*$D36</f>
        <v>0</v>
      </c>
      <c r="M36" s="517"/>
      <c r="N36" s="1032"/>
      <c r="O36" s="514">
        <v>0</v>
      </c>
      <c r="P36" s="507">
        <f t="shared" ref="P36" si="15">O36*$D36</f>
        <v>0</v>
      </c>
      <c r="Q36" s="514">
        <v>0</v>
      </c>
      <c r="R36" s="507">
        <f t="shared" ref="R36:R38" si="16">Q36*$D36</f>
        <v>0</v>
      </c>
    </row>
    <row r="37" spans="2:19" ht="15.75" x14ac:dyDescent="0.25">
      <c r="B37" s="526" t="s">
        <v>486</v>
      </c>
      <c r="C37" s="523" t="s">
        <v>485</v>
      </c>
      <c r="D37" s="513">
        <f>350/(2.5*128)</f>
        <v>1.09375</v>
      </c>
      <c r="E37" s="507"/>
      <c r="F37" s="1032"/>
      <c r="G37" s="514">
        <v>0</v>
      </c>
      <c r="H37" s="507">
        <f t="shared" si="13"/>
        <v>0</v>
      </c>
      <c r="I37" s="507"/>
      <c r="J37" s="1032"/>
      <c r="K37" s="514">
        <v>32</v>
      </c>
      <c r="L37" s="507">
        <f t="shared" si="14"/>
        <v>35</v>
      </c>
      <c r="M37" s="507"/>
      <c r="N37" s="1032"/>
      <c r="O37" s="514">
        <v>0</v>
      </c>
      <c r="P37" s="507">
        <f t="shared" si="14"/>
        <v>0</v>
      </c>
      <c r="Q37" s="514">
        <v>0</v>
      </c>
      <c r="R37" s="507">
        <f t="shared" si="16"/>
        <v>0</v>
      </c>
    </row>
    <row r="38" spans="2:19" ht="15.75" x14ac:dyDescent="0.25">
      <c r="B38" s="526" t="s">
        <v>487</v>
      </c>
      <c r="C38" s="523" t="s">
        <v>485</v>
      </c>
      <c r="D38" s="513">
        <f>82.95/(2.5*128)</f>
        <v>0.25921875</v>
      </c>
      <c r="E38" s="507"/>
      <c r="F38" s="1032"/>
      <c r="G38" s="514">
        <v>0</v>
      </c>
      <c r="H38" s="518">
        <f t="shared" si="13"/>
        <v>0</v>
      </c>
      <c r="I38" s="507"/>
      <c r="J38" s="1032"/>
      <c r="K38" s="514">
        <v>32</v>
      </c>
      <c r="L38" s="518">
        <f t="shared" si="14"/>
        <v>8.2949999999999999</v>
      </c>
      <c r="M38" s="507"/>
      <c r="N38" s="1032"/>
      <c r="O38" s="514">
        <v>32</v>
      </c>
      <c r="P38" s="518">
        <f t="shared" si="14"/>
        <v>8.2949999999999999</v>
      </c>
      <c r="Q38" s="514">
        <v>32</v>
      </c>
      <c r="R38" s="518">
        <f t="shared" si="16"/>
        <v>8.2949999999999999</v>
      </c>
    </row>
    <row r="39" spans="2:19" ht="15.75" x14ac:dyDescent="0.25">
      <c r="B39" s="504" t="s">
        <v>488</v>
      </c>
      <c r="C39" s="529"/>
      <c r="D39" s="493"/>
      <c r="E39" s="493"/>
      <c r="F39" s="1032"/>
      <c r="G39" s="492"/>
      <c r="H39" s="509">
        <f>H28+H29+H31+H32+H33+H34+H37+H38</f>
        <v>0</v>
      </c>
      <c r="I39" s="493"/>
      <c r="J39" s="1032"/>
      <c r="K39" s="492"/>
      <c r="L39" s="509">
        <f>L28+L29+L31+L32+L33+L34+L37+L38</f>
        <v>247.245</v>
      </c>
      <c r="M39" s="509"/>
      <c r="N39" s="1032"/>
      <c r="O39" s="493"/>
      <c r="P39" s="509">
        <f>P28+P29+P31+P32+P33+P34+P37+P38</f>
        <v>137.79499999999999</v>
      </c>
      <c r="Q39" s="493"/>
      <c r="R39" s="509">
        <f>R28+R29+R31+R32+R33+R34+R37+R38</f>
        <v>136.49499999999998</v>
      </c>
    </row>
    <row r="40" spans="2:19" ht="15.75" x14ac:dyDescent="0.25">
      <c r="B40" s="504"/>
      <c r="C40" s="504"/>
      <c r="D40" s="493" t="s">
        <v>489</v>
      </c>
      <c r="E40" s="493"/>
      <c r="F40" s="1032"/>
      <c r="G40" s="492"/>
      <c r="H40" s="493"/>
      <c r="I40" s="493"/>
      <c r="J40" s="1032"/>
      <c r="K40" s="492"/>
      <c r="L40" s="493"/>
      <c r="M40" s="493"/>
      <c r="N40" s="1032"/>
      <c r="O40" s="492"/>
      <c r="P40" s="493"/>
      <c r="Q40" s="492"/>
      <c r="R40" s="493"/>
    </row>
    <row r="41" spans="2:19" ht="15.75" x14ac:dyDescent="0.25">
      <c r="B41" s="523" t="s">
        <v>490</v>
      </c>
      <c r="C41" s="523" t="s">
        <v>491</v>
      </c>
      <c r="D41" s="530">
        <v>0.05</v>
      </c>
      <c r="E41" s="531"/>
      <c r="F41" s="1032"/>
      <c r="G41" s="492"/>
      <c r="H41" s="532">
        <f>(H25+H39)*$D41*8/12</f>
        <v>0.20500000000000004</v>
      </c>
      <c r="I41" s="531"/>
      <c r="J41" s="1032"/>
      <c r="K41" s="492"/>
      <c r="L41" s="532">
        <f>(L25+L39)*$D41*8/12</f>
        <v>9.3915000000000006</v>
      </c>
      <c r="M41" s="532"/>
      <c r="N41" s="1032"/>
      <c r="O41" s="533"/>
      <c r="P41" s="532">
        <f>(P25+P39)*$D41*8/12</f>
        <v>5.6881666666666666</v>
      </c>
      <c r="Q41" s="517"/>
      <c r="R41" s="532">
        <f>(R25+R39)*$D41*8/12</f>
        <v>5.0148333333333328</v>
      </c>
    </row>
    <row r="42" spans="2:19" ht="15.75" x14ac:dyDescent="0.25">
      <c r="B42" s="486"/>
      <c r="C42" s="486"/>
      <c r="D42" s="486"/>
      <c r="E42" s="486"/>
      <c r="F42" s="1032"/>
      <c r="G42" s="486"/>
      <c r="H42" s="486"/>
      <c r="I42" s="486"/>
      <c r="J42" s="1032"/>
      <c r="K42" s="486"/>
      <c r="L42" s="486"/>
      <c r="M42" s="486"/>
      <c r="N42" s="1032"/>
      <c r="O42" s="534"/>
      <c r="P42" s="486"/>
      <c r="Q42" s="535"/>
      <c r="R42" s="486"/>
    </row>
    <row r="43" spans="2:19" ht="15.75" x14ac:dyDescent="0.25">
      <c r="B43" s="523" t="s">
        <v>492</v>
      </c>
      <c r="C43" s="536"/>
      <c r="D43" s="537"/>
      <c r="E43" s="537"/>
      <c r="F43" s="1032"/>
      <c r="G43" s="535"/>
      <c r="H43" s="493"/>
      <c r="I43" s="537"/>
      <c r="J43" s="1032"/>
      <c r="K43" s="535"/>
      <c r="L43" s="493"/>
      <c r="M43" s="493"/>
      <c r="N43" s="1032"/>
      <c r="O43" s="534"/>
      <c r="P43" s="493"/>
      <c r="Q43" s="535"/>
      <c r="R43" s="493"/>
    </row>
    <row r="44" spans="2:19" ht="15.75" x14ac:dyDescent="0.25">
      <c r="B44" s="515" t="s">
        <v>493</v>
      </c>
      <c r="C44" s="535" t="s">
        <v>459</v>
      </c>
      <c r="D44" s="516">
        <v>13.35</v>
      </c>
      <c r="E44" s="517"/>
      <c r="F44" s="1032"/>
      <c r="G44" s="538">
        <v>0</v>
      </c>
      <c r="H44" s="507">
        <f t="shared" ref="H44:H48" si="17">G44*$D44</f>
        <v>0</v>
      </c>
      <c r="I44" s="517"/>
      <c r="J44" s="1032"/>
      <c r="K44" s="514">
        <v>0</v>
      </c>
      <c r="L44" s="507">
        <f t="shared" ref="L44:P48" si="18">K44*$D44</f>
        <v>0</v>
      </c>
      <c r="M44" s="507"/>
      <c r="N44" s="1032"/>
      <c r="O44" s="522">
        <v>1</v>
      </c>
      <c r="P44" s="507">
        <f t="shared" si="18"/>
        <v>13.35</v>
      </c>
      <c r="Q44" s="522">
        <v>1</v>
      </c>
      <c r="R44" s="507">
        <f t="shared" ref="R44:R48" si="19">Q44*$D44</f>
        <v>13.35</v>
      </c>
    </row>
    <row r="45" spans="2:19" ht="15.75" x14ac:dyDescent="0.25">
      <c r="B45" s="515" t="s">
        <v>494</v>
      </c>
      <c r="C45" s="535" t="s">
        <v>495</v>
      </c>
      <c r="D45" s="516">
        <v>14.05</v>
      </c>
      <c r="E45" s="517"/>
      <c r="F45" s="1032"/>
      <c r="G45" s="538">
        <v>0</v>
      </c>
      <c r="H45" s="507">
        <f t="shared" si="17"/>
        <v>0</v>
      </c>
      <c r="I45" s="517"/>
      <c r="J45" s="1032"/>
      <c r="K45" s="538">
        <f>Switchgrass_Key_Inputs!D25*2000/Switchgrass_Budget!C5</f>
        <v>2.4</v>
      </c>
      <c r="L45" s="507">
        <f t="shared" si="18"/>
        <v>33.72</v>
      </c>
      <c r="M45" s="507"/>
      <c r="N45" s="1032"/>
      <c r="O45" s="538">
        <f>Switchgrass_Key_Inputs!D26*2000/Switchgrass_Budget!C5</f>
        <v>4.8</v>
      </c>
      <c r="P45" s="507">
        <f t="shared" si="18"/>
        <v>67.44</v>
      </c>
      <c r="Q45" s="538">
        <f>Switchgrass_Key_Inputs!D27*2000/Switchgrass_Budget!C5</f>
        <v>9.6</v>
      </c>
      <c r="R45" s="507">
        <f t="shared" si="19"/>
        <v>134.88</v>
      </c>
    </row>
    <row r="46" spans="2:19" ht="15.75" x14ac:dyDescent="0.25">
      <c r="B46" s="515" t="s">
        <v>496</v>
      </c>
      <c r="C46" s="535" t="s">
        <v>459</v>
      </c>
      <c r="D46" s="516">
        <v>7.65</v>
      </c>
      <c r="E46" s="517"/>
      <c r="F46" s="1032"/>
      <c r="G46" s="538">
        <v>0</v>
      </c>
      <c r="H46" s="507">
        <f t="shared" si="17"/>
        <v>0</v>
      </c>
      <c r="I46" s="517"/>
      <c r="J46" s="1032"/>
      <c r="K46" s="514">
        <v>0</v>
      </c>
      <c r="L46" s="507">
        <f t="shared" si="18"/>
        <v>0</v>
      </c>
      <c r="M46" s="507"/>
      <c r="N46" s="1032"/>
      <c r="O46" s="522">
        <v>1</v>
      </c>
      <c r="P46" s="507">
        <f t="shared" si="18"/>
        <v>7.65</v>
      </c>
      <c r="Q46" s="522">
        <v>1</v>
      </c>
      <c r="R46" s="507">
        <f t="shared" si="19"/>
        <v>7.65</v>
      </c>
    </row>
    <row r="47" spans="2:19" ht="15.75" x14ac:dyDescent="0.25">
      <c r="B47" s="515" t="s">
        <v>497</v>
      </c>
      <c r="C47" s="535" t="s">
        <v>495</v>
      </c>
      <c r="D47" s="516">
        <v>3.05</v>
      </c>
      <c r="E47" s="517"/>
      <c r="F47" s="1032"/>
      <c r="G47" s="538">
        <v>0</v>
      </c>
      <c r="H47" s="518">
        <f t="shared" si="17"/>
        <v>0</v>
      </c>
      <c r="I47" s="517"/>
      <c r="J47" s="1032"/>
      <c r="K47" s="538">
        <f>K45</f>
        <v>2.4</v>
      </c>
      <c r="L47" s="518">
        <f t="shared" si="18"/>
        <v>7.3199999999999994</v>
      </c>
      <c r="M47" s="507"/>
      <c r="N47" s="1032"/>
      <c r="O47" s="538">
        <f>O45</f>
        <v>4.8</v>
      </c>
      <c r="P47" s="518">
        <f t="shared" si="18"/>
        <v>14.639999999999999</v>
      </c>
      <c r="Q47" s="538">
        <f>C7</f>
        <v>9.6</v>
      </c>
      <c r="R47" s="518">
        <f t="shared" si="19"/>
        <v>29.279999999999998</v>
      </c>
    </row>
    <row r="48" spans="2:19" ht="15.75" x14ac:dyDescent="0.25">
      <c r="B48" s="515" t="s">
        <v>498</v>
      </c>
      <c r="C48" s="535" t="s">
        <v>482</v>
      </c>
      <c r="D48" s="516">
        <v>13.46</v>
      </c>
      <c r="E48" s="517"/>
      <c r="F48" s="508"/>
      <c r="G48" s="538">
        <v>0</v>
      </c>
      <c r="H48" s="518">
        <f t="shared" si="17"/>
        <v>0</v>
      </c>
      <c r="I48" s="517"/>
      <c r="J48" s="508"/>
      <c r="K48" s="538">
        <f>Switchgrass_Key_Inputs!D25</f>
        <v>1.5</v>
      </c>
      <c r="L48" s="518">
        <f t="shared" si="18"/>
        <v>20.190000000000001</v>
      </c>
      <c r="M48" s="507"/>
      <c r="N48" s="508"/>
      <c r="O48" s="538">
        <f>Switchgrass_Key_Inputs!D26</f>
        <v>3</v>
      </c>
      <c r="P48" s="518">
        <f t="shared" si="18"/>
        <v>40.380000000000003</v>
      </c>
      <c r="Q48" s="538">
        <f>Switchgrass_Key_Inputs!D27</f>
        <v>6</v>
      </c>
      <c r="R48" s="518">
        <f t="shared" si="19"/>
        <v>80.760000000000005</v>
      </c>
    </row>
    <row r="49" spans="2:18" ht="15.75" x14ac:dyDescent="0.25">
      <c r="B49" s="539" t="s">
        <v>499</v>
      </c>
      <c r="C49" s="540"/>
      <c r="D49" s="541"/>
      <c r="E49" s="541"/>
      <c r="F49" s="541"/>
      <c r="G49" s="535"/>
      <c r="H49" s="542">
        <f>SUM(H44:H48)</f>
        <v>0</v>
      </c>
      <c r="I49" s="541"/>
      <c r="J49" s="541"/>
      <c r="K49" s="535"/>
      <c r="L49" s="542">
        <f>SUM(L44:L48)</f>
        <v>61.230000000000004</v>
      </c>
      <c r="M49" s="509"/>
      <c r="N49" s="509"/>
      <c r="O49" s="543"/>
      <c r="P49" s="542">
        <f>SUM(P44:P48)</f>
        <v>143.46</v>
      </c>
      <c r="Q49" s="544"/>
      <c r="R49" s="542">
        <f>SUM(R44:R48)</f>
        <v>265.92</v>
      </c>
    </row>
    <row r="50" spans="2:18" ht="16.5" thickBot="1" x14ac:dyDescent="0.3">
      <c r="B50" s="545"/>
      <c r="C50" s="545"/>
      <c r="D50" s="545"/>
      <c r="E50" s="545"/>
      <c r="F50" s="545"/>
      <c r="G50" s="545"/>
      <c r="H50" s="546"/>
      <c r="I50" s="545"/>
      <c r="J50" s="545"/>
      <c r="K50" s="545"/>
      <c r="L50" s="546"/>
      <c r="M50" s="545"/>
      <c r="N50" s="545"/>
      <c r="O50" s="545"/>
      <c r="P50" s="546"/>
      <c r="Q50" s="545"/>
      <c r="R50" s="547"/>
    </row>
    <row r="51" spans="2:18" ht="16.5" thickTop="1" x14ac:dyDescent="0.25">
      <c r="B51" s="548" t="s">
        <v>500</v>
      </c>
      <c r="C51" s="548"/>
      <c r="D51" s="549"/>
      <c r="E51" s="549"/>
      <c r="F51" s="549"/>
      <c r="G51" s="550"/>
      <c r="H51" s="551">
        <f>H17+H25+H39+H41+H49</f>
        <v>37.744999999999997</v>
      </c>
      <c r="I51" s="549"/>
      <c r="J51" s="549"/>
      <c r="K51" s="550"/>
      <c r="L51" s="551">
        <f>L17+L25+L39+L41+L49</f>
        <v>399.86650000000003</v>
      </c>
      <c r="M51" s="551"/>
      <c r="N51" s="551"/>
      <c r="O51" s="549"/>
      <c r="P51" s="551">
        <f>P17+P25+P39+P41+P49</f>
        <v>319.79316666666665</v>
      </c>
      <c r="Q51" s="549"/>
      <c r="R51" s="551">
        <f>R17+R25+R39+R41+R49</f>
        <v>421.37983333333329</v>
      </c>
    </row>
    <row r="52" spans="2:18" ht="15.75" x14ac:dyDescent="0.25">
      <c r="B52" s="504"/>
      <c r="C52" s="529"/>
      <c r="D52" s="493"/>
      <c r="E52" s="493"/>
      <c r="F52" s="493"/>
      <c r="G52" s="493"/>
      <c r="H52" s="493"/>
      <c r="I52" s="493"/>
      <c r="J52" s="493"/>
      <c r="K52" s="492"/>
      <c r="L52" s="509"/>
      <c r="M52" s="509"/>
      <c r="N52" s="509"/>
      <c r="O52" s="493"/>
      <c r="P52" s="509"/>
      <c r="Q52" s="493"/>
      <c r="R52" s="509"/>
    </row>
    <row r="53" spans="2:18" ht="15.75" x14ac:dyDescent="0.25">
      <c r="B53" s="552" t="s">
        <v>501</v>
      </c>
      <c r="C53" s="553"/>
      <c r="D53" s="554" t="s">
        <v>489</v>
      </c>
      <c r="E53" s="554"/>
      <c r="F53" s="554"/>
      <c r="G53" s="554" t="s">
        <v>502</v>
      </c>
      <c r="H53" s="554"/>
      <c r="I53" s="554"/>
      <c r="J53" s="554"/>
      <c r="K53" s="555"/>
      <c r="L53" s="556" t="e">
        <f>IF(G58=1,H51,0)+#REF!+L17+L25+L39+L41</f>
        <v>#REF!</v>
      </c>
      <c r="M53" s="532"/>
      <c r="N53" s="532"/>
      <c r="O53" s="493"/>
      <c r="P53" s="509"/>
      <c r="Q53" s="493"/>
      <c r="R53" s="509"/>
    </row>
    <row r="54" spans="2:18" ht="15.75" x14ac:dyDescent="0.25">
      <c r="B54" s="557" t="s">
        <v>528</v>
      </c>
      <c r="C54" s="501"/>
      <c r="D54" s="579">
        <f>('Financial Inputs'!P84*'Financial Inputs'!P82*(1-'Financial Inputs'!P16)+'Financial Inputs'!P79*(1-'Financial Inputs'!P82))</f>
        <v>8.7090000000000015E-2</v>
      </c>
      <c r="E54" s="558"/>
      <c r="F54" s="558"/>
      <c r="G54" s="559">
        <f>Switchgrass_Key_Inputs!D24+G58</f>
        <v>10</v>
      </c>
      <c r="H54" s="558"/>
      <c r="I54" s="558"/>
      <c r="J54" s="558"/>
      <c r="K54" s="535"/>
      <c r="L54" s="560">
        <f>(D54+(D54/((1+D54)^G54-1)))</f>
        <v>0.15382995393605645</v>
      </c>
      <c r="M54" s="533"/>
      <c r="N54" s="533"/>
      <c r="O54" s="493"/>
      <c r="P54" s="509"/>
      <c r="Q54" s="493"/>
      <c r="R54" s="509"/>
    </row>
    <row r="55" spans="2:18" ht="15.75" x14ac:dyDescent="0.25">
      <c r="B55" s="561" t="s">
        <v>503</v>
      </c>
      <c r="C55" s="562"/>
      <c r="D55" s="563"/>
      <c r="E55" s="563"/>
      <c r="F55" s="563"/>
      <c r="G55" s="563"/>
      <c r="H55" s="563"/>
      <c r="I55" s="563"/>
      <c r="J55" s="563"/>
      <c r="K55" s="564"/>
      <c r="L55" s="565" t="e">
        <f>L54*L53</f>
        <v>#REF!</v>
      </c>
      <c r="M55" s="532"/>
      <c r="N55" s="532"/>
      <c r="O55" s="493"/>
      <c r="P55" s="509"/>
      <c r="Q55" s="493"/>
      <c r="R55" s="509"/>
    </row>
    <row r="56" spans="2:18" x14ac:dyDescent="0.25">
      <c r="G56" s="396"/>
    </row>
    <row r="57" spans="2:18" x14ac:dyDescent="0.25">
      <c r="G57" s="566" t="s">
        <v>522</v>
      </c>
    </row>
    <row r="58" spans="2:18" x14ac:dyDescent="0.25">
      <c r="C58" s="590"/>
      <c r="G58" s="396">
        <f>Switchgrass_Key_Inputs!L9</f>
        <v>0</v>
      </c>
    </row>
  </sheetData>
  <sheetProtection sheet="1" objects="1" scenarios="1"/>
  <mergeCells count="4">
    <mergeCell ref="B1:R1"/>
    <mergeCell ref="F11:F47"/>
    <mergeCell ref="J11:J47"/>
    <mergeCell ref="N11:N47"/>
  </mergeCells>
  <conditionalFormatting sqref="D52:R55">
    <cfRule type="containsErrors" dxfId="10" priority="4">
      <formula>ISERROR(D52)</formula>
    </cfRule>
  </conditionalFormatting>
  <conditionalFormatting sqref="G44:G48 F49:H51">
    <cfRule type="containsErrors" dxfId="9" priority="5">
      <formula>ISERROR(F44)</formula>
    </cfRule>
  </conditionalFormatting>
  <conditionalFormatting sqref="I49:P49">
    <cfRule type="containsErrors" dxfId="8" priority="2">
      <formula>ISERROR(I49)</formula>
    </cfRule>
  </conditionalFormatting>
  <conditionalFormatting sqref="L4:N4 I44:I48 O44:O48 D44:E51 K45 K47:K48 I50:R51">
    <cfRule type="containsErrors" dxfId="7" priority="7">
      <formula>ISERROR(D4)</formula>
    </cfRule>
  </conditionalFormatting>
  <conditionalFormatting sqref="Q44:Q49">
    <cfRule type="containsErrors" dxfId="6" priority="6">
      <formula>ISERROR(Q44)</formula>
    </cfRule>
  </conditionalFormatting>
  <conditionalFormatting sqref="R49">
    <cfRule type="containsErrors" dxfId="5" priority="1">
      <formula>ISERROR(R49)</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DAAD0-BD54-412D-B6F4-7C803CA1A0EF}">
  <sheetPr codeName="Sheet12"/>
  <dimension ref="O1:W60"/>
  <sheetViews>
    <sheetView workbookViewId="0"/>
  </sheetViews>
  <sheetFormatPr defaultRowHeight="15" x14ac:dyDescent="0.25"/>
  <cols>
    <col min="1" max="1" width="5.42578125" customWidth="1"/>
    <col min="2" max="2" width="15.85546875" customWidth="1"/>
    <col min="15" max="15" width="25" customWidth="1"/>
    <col min="16" max="16" width="16.140625" customWidth="1"/>
    <col min="17" max="17" width="14.7109375" customWidth="1"/>
    <col min="18" max="18" width="16.28515625" customWidth="1"/>
    <col min="19" max="19" width="14.7109375" customWidth="1"/>
    <col min="20" max="20" width="14.42578125" customWidth="1"/>
    <col min="21" max="23" width="15.28515625" customWidth="1"/>
  </cols>
  <sheetData>
    <row r="1" spans="15:23" ht="15.75" thickBot="1" x14ac:dyDescent="0.3"/>
    <row r="2" spans="15:23" ht="16.5" thickBot="1" x14ac:dyDescent="0.3">
      <c r="O2" s="2" t="str">
        <f>'Financial Inputs'!T141</f>
        <v>Investment sensitivity analysis (hard costs)</v>
      </c>
      <c r="P2" s="429"/>
      <c r="Q2" s="430"/>
      <c r="R2" s="1"/>
      <c r="S2" s="1"/>
      <c r="T2" s="2" t="e">
        <f>'Financial Inputs'!#REF!</f>
        <v>#REF!</v>
      </c>
      <c r="U2" s="429"/>
      <c r="V2" s="430"/>
      <c r="W2" s="1"/>
    </row>
    <row r="3" spans="15:23" ht="15.75" x14ac:dyDescent="0.25">
      <c r="O3" s="399">
        <f>'Financial Inputs'!T142</f>
        <v>1</v>
      </c>
      <c r="P3" s="399" t="str">
        <f>'Financial Inputs'!U142</f>
        <v>Total hard costs</v>
      </c>
      <c r="Q3" s="399" t="str">
        <f>'Financial Inputs'!V142</f>
        <v>Annualized NPV</v>
      </c>
      <c r="R3" s="1"/>
      <c r="S3" s="1"/>
      <c r="T3" s="1"/>
      <c r="U3" s="1"/>
      <c r="V3" s="1" t="e">
        <f>'Financial Inputs'!#REF!</f>
        <v>#REF!</v>
      </c>
      <c r="W3" s="1"/>
    </row>
    <row r="4" spans="15:23" ht="15.75" x14ac:dyDescent="0.25">
      <c r="O4" s="152" t="str">
        <f>'Financial Inputs'!T144</f>
        <v>% change</v>
      </c>
      <c r="P4" s="454">
        <f>'Financial Inputs'!U144</f>
        <v>10000</v>
      </c>
      <c r="Q4" s="454">
        <f>'Financial Inputs'!V144</f>
        <v>76614.011202316717</v>
      </c>
      <c r="R4" s="1"/>
      <c r="S4" s="1"/>
      <c r="T4" s="1"/>
      <c r="U4" s="390" t="e">
        <f>'Financial Inputs'!#REF!</f>
        <v>#REF!</v>
      </c>
      <c r="V4" s="453" t="e">
        <f>'Financial Inputs'!#REF!</f>
        <v>#REF!</v>
      </c>
      <c r="W4" s="1"/>
    </row>
    <row r="5" spans="15:23" ht="15.75" x14ac:dyDescent="0.25">
      <c r="O5" s="399">
        <f>'Financial Inputs'!T145</f>
        <v>0.5</v>
      </c>
      <c r="P5" s="391">
        <f>'Financial Inputs'!U145</f>
        <v>10000</v>
      </c>
      <c r="Q5" s="391">
        <f>'Financial Inputs'!V145</f>
        <v>76614.011202316717</v>
      </c>
      <c r="R5" s="1"/>
      <c r="S5" s="1"/>
      <c r="T5" s="399" t="e">
        <f>'Financial Inputs'!#REF!</f>
        <v>#REF!</v>
      </c>
      <c r="U5" s="390" t="e">
        <f>'Financial Inputs'!#REF!</f>
        <v>#REF!</v>
      </c>
      <c r="V5" s="391" t="e">
        <f>'Financial Inputs'!#REF!</f>
        <v>#REF!</v>
      </c>
      <c r="W5" s="1"/>
    </row>
    <row r="6" spans="15:23" ht="15.75" x14ac:dyDescent="0.25">
      <c r="O6" s="399">
        <f>'Financial Inputs'!T146</f>
        <v>0.75</v>
      </c>
      <c r="P6" s="391">
        <f>'Financial Inputs'!U146</f>
        <v>10000</v>
      </c>
      <c r="Q6" s="391">
        <f>'Financial Inputs'!V146</f>
        <v>76614.011202316717</v>
      </c>
      <c r="R6" s="1"/>
      <c r="S6" s="1"/>
      <c r="T6" s="399" t="e">
        <f>'Financial Inputs'!#REF!</f>
        <v>#REF!</v>
      </c>
      <c r="U6" s="390" t="e">
        <f>'Financial Inputs'!#REF!</f>
        <v>#REF!</v>
      </c>
      <c r="V6" s="391" t="e">
        <f>'Financial Inputs'!#REF!</f>
        <v>#REF!</v>
      </c>
      <c r="W6" s="1"/>
    </row>
    <row r="7" spans="15:23" ht="15.75" x14ac:dyDescent="0.25">
      <c r="O7" s="457">
        <f>'Financial Inputs'!T147</f>
        <v>1</v>
      </c>
      <c r="P7" s="392">
        <f>'Financial Inputs'!U147</f>
        <v>10000</v>
      </c>
      <c r="Q7" s="392">
        <f>'Financial Inputs'!V147</f>
        <v>76614.011202316717</v>
      </c>
      <c r="R7" s="1"/>
      <c r="S7" s="1"/>
      <c r="T7" s="457" t="e">
        <f>'Financial Inputs'!#REF!</f>
        <v>#REF!</v>
      </c>
      <c r="U7" s="456" t="e">
        <f>'Financial Inputs'!#REF!</f>
        <v>#REF!</v>
      </c>
      <c r="V7" s="392" t="e">
        <f>'Financial Inputs'!#REF!</f>
        <v>#REF!</v>
      </c>
      <c r="W7" s="1"/>
    </row>
    <row r="8" spans="15:23" ht="15.75" x14ac:dyDescent="0.25">
      <c r="O8" s="399">
        <f>'Financial Inputs'!T148</f>
        <v>1.25</v>
      </c>
      <c r="P8" s="391">
        <f>'Financial Inputs'!U148</f>
        <v>10000</v>
      </c>
      <c r="Q8" s="391">
        <f>'Financial Inputs'!V148</f>
        <v>76614.011202316717</v>
      </c>
      <c r="R8" s="1"/>
      <c r="S8" s="1"/>
      <c r="T8" s="399" t="e">
        <f>'Financial Inputs'!#REF!</f>
        <v>#REF!</v>
      </c>
      <c r="U8" s="390" t="e">
        <f>'Financial Inputs'!#REF!</f>
        <v>#REF!</v>
      </c>
      <c r="V8" s="391" t="e">
        <f>'Financial Inputs'!#REF!</f>
        <v>#REF!</v>
      </c>
      <c r="W8" s="1"/>
    </row>
    <row r="9" spans="15:23" ht="15.75" x14ac:dyDescent="0.25">
      <c r="O9" s="399">
        <f>'Financial Inputs'!T149</f>
        <v>1.5</v>
      </c>
      <c r="P9" s="391">
        <f>'Financial Inputs'!U149</f>
        <v>10000</v>
      </c>
      <c r="Q9" s="391">
        <f>'Financial Inputs'!V149</f>
        <v>76614.011202316717</v>
      </c>
      <c r="R9" s="1"/>
      <c r="S9" s="1"/>
      <c r="T9" s="399" t="e">
        <f>'Financial Inputs'!#REF!</f>
        <v>#REF!</v>
      </c>
      <c r="U9" s="390" t="e">
        <f>'Financial Inputs'!#REF!</f>
        <v>#REF!</v>
      </c>
      <c r="V9" s="391" t="e">
        <f>'Financial Inputs'!#REF!</f>
        <v>#REF!</v>
      </c>
      <c r="W9" s="1"/>
    </row>
    <row r="10" spans="15:23" ht="16.5" thickBot="1" x14ac:dyDescent="0.3">
      <c r="O10" s="390"/>
      <c r="P10" s="390"/>
      <c r="Q10" s="390"/>
      <c r="R10" s="1"/>
      <c r="S10" s="1"/>
      <c r="T10" s="399">
        <f>'Financial Inputs'!Y150</f>
        <v>0</v>
      </c>
      <c r="U10" s="390">
        <f>'Financial Inputs'!Z150</f>
        <v>0</v>
      </c>
      <c r="V10" s="391">
        <f>'Financial Inputs'!AA150</f>
        <v>0</v>
      </c>
      <c r="W10" s="1"/>
    </row>
    <row r="11" spans="15:23" ht="16.5" thickBot="1" x14ac:dyDescent="0.3">
      <c r="O11" s="2" t="str">
        <f>'Financial Inputs'!T151</f>
        <v>Useful life sensitivity analysis</v>
      </c>
      <c r="P11" s="429"/>
      <c r="Q11" s="430"/>
      <c r="R11" s="1"/>
      <c r="S11" s="1"/>
      <c r="T11" s="1"/>
      <c r="U11" s="1"/>
      <c r="V11" s="1"/>
      <c r="W11" s="1"/>
    </row>
    <row r="12" spans="15:23" ht="16.5" thickBot="1" x14ac:dyDescent="0.3">
      <c r="O12" s="1"/>
      <c r="P12" s="1"/>
      <c r="Q12" s="390" t="str">
        <f>'Financial Inputs'!V152</f>
        <v>Annualized NPV</v>
      </c>
      <c r="R12" s="1"/>
      <c r="S12" s="1"/>
      <c r="T12" s="2">
        <f>'Financial Inputs'!Y152</f>
        <v>0</v>
      </c>
      <c r="U12" s="429"/>
      <c r="V12" s="430"/>
      <c r="W12" s="1"/>
    </row>
    <row r="13" spans="15:23" ht="15.75" x14ac:dyDescent="0.25">
      <c r="O13" s="1"/>
      <c r="P13" s="1" t="str">
        <f>'Financial Inputs'!U153</f>
        <v>Years</v>
      </c>
      <c r="Q13" s="455">
        <f>'Financial Inputs'!V153</f>
        <v>76614.011202316717</v>
      </c>
      <c r="R13" s="1"/>
      <c r="S13" s="1"/>
      <c r="T13" s="1"/>
      <c r="U13" s="390"/>
      <c r="V13" s="390">
        <f>'Financial Inputs'!AA153</f>
        <v>0</v>
      </c>
      <c r="W13" s="1"/>
    </row>
    <row r="14" spans="15:23" ht="15.75" x14ac:dyDescent="0.25">
      <c r="O14" s="399">
        <f>'Financial Inputs'!T154</f>
        <v>0.5</v>
      </c>
      <c r="P14" s="390">
        <f>'Financial Inputs'!U154</f>
        <v>10</v>
      </c>
      <c r="Q14" s="391">
        <f>'Financial Inputs'!V154</f>
        <v>74414.676258432679</v>
      </c>
      <c r="R14" s="1"/>
      <c r="S14" s="1"/>
      <c r="T14" s="1"/>
      <c r="U14" s="390">
        <f>'Financial Inputs'!Z154</f>
        <v>0</v>
      </c>
      <c r="V14" s="455">
        <f>'Financial Inputs'!AA154</f>
        <v>0</v>
      </c>
      <c r="W14" s="1"/>
    </row>
    <row r="15" spans="15:23" ht="15.75" x14ac:dyDescent="0.25">
      <c r="O15" s="399">
        <f>'Financial Inputs'!T155</f>
        <v>0.75</v>
      </c>
      <c r="P15" s="390">
        <f>'Financial Inputs'!U155</f>
        <v>15</v>
      </c>
      <c r="Q15" s="391">
        <f>'Financial Inputs'!V155</f>
        <v>75627.132060621312</v>
      </c>
      <c r="R15" s="1"/>
      <c r="S15" s="1"/>
      <c r="T15" s="399">
        <f>'Financial Inputs'!Y155</f>
        <v>0</v>
      </c>
      <c r="U15" s="391">
        <f>'Financial Inputs'!Z155</f>
        <v>0</v>
      </c>
      <c r="V15" s="387">
        <f>'Financial Inputs'!AA155</f>
        <v>0</v>
      </c>
      <c r="W15" s="1"/>
    </row>
    <row r="16" spans="15:23" ht="15.75" x14ac:dyDescent="0.25">
      <c r="O16" s="457">
        <f>'Financial Inputs'!T156</f>
        <v>1</v>
      </c>
      <c r="P16" s="456">
        <f>'Financial Inputs'!U156</f>
        <v>20</v>
      </c>
      <c r="Q16" s="392">
        <f>'Financial Inputs'!V156</f>
        <v>76614.011202316717</v>
      </c>
      <c r="R16" s="1"/>
      <c r="S16" s="1"/>
      <c r="T16" s="457">
        <f>'Financial Inputs'!Y156</f>
        <v>0</v>
      </c>
      <c r="U16" s="392">
        <f>'Financial Inputs'!Z156</f>
        <v>0</v>
      </c>
      <c r="V16" s="394">
        <f>'Financial Inputs'!AA156</f>
        <v>0</v>
      </c>
      <c r="W16" s="1"/>
    </row>
    <row r="17" spans="15:23" ht="15.75" x14ac:dyDescent="0.25">
      <c r="O17" s="399">
        <f>'Financial Inputs'!T157</f>
        <v>1.25</v>
      </c>
      <c r="P17" s="390">
        <f>'Financial Inputs'!U157</f>
        <v>25</v>
      </c>
      <c r="Q17" s="391">
        <f>'Financial Inputs'!V157</f>
        <v>77412.666509912422</v>
      </c>
      <c r="R17" s="1"/>
      <c r="S17" s="1"/>
      <c r="T17" s="399">
        <f>'Financial Inputs'!Y157</f>
        <v>0</v>
      </c>
      <c r="U17" s="391">
        <f>'Financial Inputs'!Z157</f>
        <v>0</v>
      </c>
      <c r="V17" s="387">
        <f>'Financial Inputs'!AA157</f>
        <v>0</v>
      </c>
      <c r="W17" s="1"/>
    </row>
    <row r="18" spans="15:23" ht="15.75" x14ac:dyDescent="0.25">
      <c r="O18" s="399">
        <f>'Financial Inputs'!T158</f>
        <v>1.5</v>
      </c>
      <c r="P18" s="390">
        <f>'Financial Inputs'!U158</f>
        <v>30</v>
      </c>
      <c r="Q18" s="391">
        <f>'Financial Inputs'!V158</f>
        <v>78048.772105685421</v>
      </c>
      <c r="R18" s="1"/>
      <c r="S18" s="1"/>
      <c r="T18" s="399">
        <f>'Financial Inputs'!Y158</f>
        <v>0</v>
      </c>
      <c r="U18" s="391">
        <f>'Financial Inputs'!Z158</f>
        <v>0</v>
      </c>
      <c r="V18" s="387">
        <f>'Financial Inputs'!AA158</f>
        <v>0</v>
      </c>
      <c r="W18" s="1"/>
    </row>
    <row r="19" spans="15:23" ht="16.5" thickBot="1" x14ac:dyDescent="0.3">
      <c r="O19" s="1"/>
      <c r="P19" s="1"/>
      <c r="Q19" s="1"/>
      <c r="R19" s="1"/>
      <c r="S19" s="1"/>
      <c r="T19" s="399">
        <f>'Financial Inputs'!Y159</f>
        <v>0</v>
      </c>
      <c r="U19" s="391">
        <f>'Financial Inputs'!Z159</f>
        <v>0</v>
      </c>
      <c r="V19" s="387">
        <f>'Financial Inputs'!AA159</f>
        <v>0</v>
      </c>
      <c r="W19" s="1"/>
    </row>
    <row r="20" spans="15:23" ht="16.5" thickBot="1" x14ac:dyDescent="0.3">
      <c r="O20" s="2" t="str">
        <f>'Financial Inputs'!T160</f>
        <v>O&amp;M sensitivity analysis</v>
      </c>
      <c r="P20" s="429"/>
      <c r="Q20" s="430"/>
      <c r="R20" s="1"/>
      <c r="S20" s="1"/>
      <c r="T20" s="1">
        <f>'Financial Inputs'!Y140</f>
        <v>0</v>
      </c>
      <c r="U20" s="1">
        <f>'Financial Inputs'!Z140</f>
        <v>0</v>
      </c>
      <c r="V20" s="1">
        <f>'Financial Inputs'!AA140</f>
        <v>0</v>
      </c>
      <c r="W20" s="1"/>
    </row>
    <row r="21" spans="15:23" ht="16.5" thickBot="1" x14ac:dyDescent="0.3">
      <c r="O21" s="399">
        <f>'Financial Inputs'!T161</f>
        <v>1</v>
      </c>
      <c r="P21" s="390" t="str">
        <f>'Financial Inputs'!U161</f>
        <v>Total hard costs</v>
      </c>
      <c r="Q21" s="390" t="str">
        <f>'Financial Inputs'!V161</f>
        <v>Annualized NPV</v>
      </c>
      <c r="R21" s="1"/>
      <c r="S21" s="1"/>
      <c r="T21" s="2" t="str">
        <f>'Financial Inputs'!Y141</f>
        <v>Nutrient fertilizer value sensitivity analysis</v>
      </c>
      <c r="U21" s="429"/>
      <c r="V21" s="429"/>
      <c r="W21" s="430"/>
    </row>
    <row r="22" spans="15:23" ht="15.75" x14ac:dyDescent="0.25">
      <c r="O22" s="390" t="str">
        <f>'Financial Inputs'!T162</f>
        <v>% change</v>
      </c>
      <c r="P22" s="454">
        <f>'Financial Inputs'!U162</f>
        <v>90.909090909090921</v>
      </c>
      <c r="Q22" s="453">
        <f>'Financial Inputs'!V162</f>
        <v>76614.011202316717</v>
      </c>
      <c r="R22" s="1"/>
      <c r="S22" s="1"/>
      <c r="T22" s="399">
        <f>'Financial Inputs'!Y142</f>
        <v>1</v>
      </c>
      <c r="U22" s="390" t="str">
        <f>'Financial Inputs'!Z142</f>
        <v>Fertilizer value</v>
      </c>
      <c r="V22" s="390" t="str">
        <f>'Financial Inputs'!AA142</f>
        <v>Annualized NPV</v>
      </c>
      <c r="W22" s="1"/>
    </row>
    <row r="23" spans="15:23" ht="15.75" x14ac:dyDescent="0.25">
      <c r="O23" s="399">
        <f>'Financial Inputs'!T163</f>
        <v>0.5</v>
      </c>
      <c r="P23" s="391">
        <f>'Financial Inputs'!U163</f>
        <v>90.909090909090921</v>
      </c>
      <c r="Q23" s="391">
        <f>'Financial Inputs'!V163</f>
        <v>76614.011202316717</v>
      </c>
      <c r="R23" s="1"/>
      <c r="S23" s="1"/>
      <c r="T23" s="390" t="str">
        <f>'Financial Inputs'!Y143</f>
        <v>% change</v>
      </c>
      <c r="U23" s="454">
        <f>'Financial Inputs'!Z143</f>
        <v>22562.149792143609</v>
      </c>
      <c r="V23" s="454">
        <f>'Financial Inputs'!AA143</f>
        <v>76614.011202316717</v>
      </c>
      <c r="W23" s="1"/>
    </row>
    <row r="24" spans="15:23" ht="15.75" x14ac:dyDescent="0.25">
      <c r="O24" s="399">
        <f>'Financial Inputs'!T164</f>
        <v>0.75</v>
      </c>
      <c r="P24" s="391">
        <f>'Financial Inputs'!U164</f>
        <v>90.909090909090921</v>
      </c>
      <c r="Q24" s="391">
        <f>'Financial Inputs'!V164</f>
        <v>76614.011202316717</v>
      </c>
      <c r="R24" s="1"/>
      <c r="S24" s="1"/>
      <c r="T24" s="399">
        <f>'Financial Inputs'!Y144</f>
        <v>0.5</v>
      </c>
      <c r="U24" s="391">
        <f>'Financial Inputs'!Z144</f>
        <v>11281.074896071805</v>
      </c>
      <c r="V24" s="391">
        <f>'Financial Inputs'!AA144</f>
        <v>64781.133404831598</v>
      </c>
      <c r="W24" s="1"/>
    </row>
    <row r="25" spans="15:23" ht="15.75" x14ac:dyDescent="0.25">
      <c r="O25" s="457">
        <f>'Financial Inputs'!T165</f>
        <v>1</v>
      </c>
      <c r="P25" s="392">
        <f>'Financial Inputs'!U165</f>
        <v>90.909090909090921</v>
      </c>
      <c r="Q25" s="392">
        <f>'Financial Inputs'!V165</f>
        <v>76614.011202316717</v>
      </c>
      <c r="R25" s="1"/>
      <c r="S25" s="1"/>
      <c r="T25" s="399">
        <f>'Financial Inputs'!Y145</f>
        <v>0.75</v>
      </c>
      <c r="U25" s="391">
        <f>'Financial Inputs'!Z145</f>
        <v>16921.612344107707</v>
      </c>
      <c r="V25" s="391">
        <f>'Financial Inputs'!AA145</f>
        <v>70697.572303574168</v>
      </c>
      <c r="W25" s="1"/>
    </row>
    <row r="26" spans="15:23" ht="15.75" x14ac:dyDescent="0.25">
      <c r="O26" s="399">
        <f>'Financial Inputs'!T166</f>
        <v>1.25</v>
      </c>
      <c r="P26" s="391">
        <f>'Financial Inputs'!U166</f>
        <v>90.909090909090921</v>
      </c>
      <c r="Q26" s="391">
        <f>'Financial Inputs'!V166</f>
        <v>76614.011202316717</v>
      </c>
      <c r="R26" s="1"/>
      <c r="S26" s="1"/>
      <c r="T26" s="457">
        <f>'Financial Inputs'!Y146</f>
        <v>1</v>
      </c>
      <c r="U26" s="391">
        <f>'Financial Inputs'!Z146</f>
        <v>22562.149792143609</v>
      </c>
      <c r="V26" s="391">
        <f>'Financial Inputs'!AA146</f>
        <v>76614.011202316717</v>
      </c>
      <c r="W26" s="1"/>
    </row>
    <row r="27" spans="15:23" ht="15.75" x14ac:dyDescent="0.25">
      <c r="O27" s="399">
        <f>'Financial Inputs'!T167</f>
        <v>1.5</v>
      </c>
      <c r="P27" s="391">
        <f>'Financial Inputs'!U167</f>
        <v>90.909090909090921</v>
      </c>
      <c r="Q27" s="391">
        <f>'Financial Inputs'!V167</f>
        <v>76614.011202316717</v>
      </c>
      <c r="R27" s="1"/>
      <c r="S27" s="1"/>
      <c r="T27" s="399">
        <f>'Financial Inputs'!Y147</f>
        <v>1.25</v>
      </c>
      <c r="U27" s="391">
        <f>'Financial Inputs'!Z147</f>
        <v>28202.687240179512</v>
      </c>
      <c r="V27" s="391">
        <f>'Financial Inputs'!AA147</f>
        <v>82530.450101059294</v>
      </c>
      <c r="W27" s="1"/>
    </row>
    <row r="28" spans="15:23" ht="16.5" thickBot="1" x14ac:dyDescent="0.3">
      <c r="O28" s="1"/>
      <c r="P28" s="1"/>
      <c r="Q28" s="1"/>
      <c r="R28" s="1"/>
      <c r="S28" s="1"/>
      <c r="T28" s="399">
        <f>'Financial Inputs'!Y148</f>
        <v>1.5</v>
      </c>
      <c r="U28" s="391">
        <f>'Financial Inputs'!Z148</f>
        <v>33843.224688215414</v>
      </c>
      <c r="V28" s="391">
        <f>'Financial Inputs'!AA148</f>
        <v>88446.888999801842</v>
      </c>
      <c r="W28" s="1"/>
    </row>
    <row r="29" spans="15:23" ht="16.5" thickBot="1" x14ac:dyDescent="0.3">
      <c r="O29" s="2">
        <f>'Financial Inputs'!T169</f>
        <v>0</v>
      </c>
      <c r="P29" s="429"/>
      <c r="Q29" s="430"/>
      <c r="R29" s="1"/>
      <c r="S29" s="1"/>
      <c r="T29" s="1"/>
      <c r="U29" s="1"/>
      <c r="V29" s="1"/>
      <c r="W29" s="1"/>
    </row>
    <row r="30" spans="15:23" ht="15.75" x14ac:dyDescent="0.25">
      <c r="O30" s="1"/>
      <c r="P30" s="390"/>
      <c r="Q30" s="390">
        <f>'Financial Inputs'!V170</f>
        <v>0</v>
      </c>
      <c r="R30" s="1"/>
      <c r="S30" s="1"/>
      <c r="T30" s="1"/>
      <c r="U30" s="1"/>
      <c r="V30" s="1"/>
      <c r="W30" s="1"/>
    </row>
    <row r="31" spans="15:23" ht="15.75" x14ac:dyDescent="0.25">
      <c r="O31" s="1"/>
      <c r="P31">
        <f>'Financial Inputs'!U171</f>
        <v>0</v>
      </c>
      <c r="Q31" s="435">
        <f>'Financial Inputs'!V171</f>
        <v>0</v>
      </c>
      <c r="R31" s="1"/>
      <c r="S31" s="1"/>
      <c r="T31" s="1"/>
      <c r="U31" s="1"/>
      <c r="V31" s="1"/>
      <c r="W31" s="1"/>
    </row>
    <row r="32" spans="15:23" ht="15.75" x14ac:dyDescent="0.25">
      <c r="O32" s="399">
        <f>'Financial Inputs'!T172</f>
        <v>0</v>
      </c>
      <c r="P32" s="389">
        <f>'Financial Inputs'!U172</f>
        <v>0</v>
      </c>
      <c r="Q32" s="388">
        <f>'Financial Inputs'!V172</f>
        <v>0</v>
      </c>
      <c r="R32" s="1"/>
      <c r="S32" s="1"/>
      <c r="T32" s="1"/>
      <c r="U32" s="1"/>
      <c r="V32" s="1"/>
      <c r="W32" s="1"/>
    </row>
    <row r="33" spans="15:23" ht="15.75" x14ac:dyDescent="0.25">
      <c r="O33" s="399">
        <f>'Financial Inputs'!T173</f>
        <v>0</v>
      </c>
      <c r="P33" s="389">
        <f>'Financial Inputs'!U173</f>
        <v>0</v>
      </c>
      <c r="Q33" s="388">
        <f>'Financial Inputs'!V173</f>
        <v>0</v>
      </c>
      <c r="R33" s="1"/>
      <c r="S33" s="1"/>
      <c r="T33" s="1"/>
      <c r="U33" s="1"/>
      <c r="V33" s="1"/>
      <c r="W33" s="1"/>
    </row>
    <row r="34" spans="15:23" ht="15.75" x14ac:dyDescent="0.25">
      <c r="O34" s="457">
        <f>'Financial Inputs'!T174</f>
        <v>0</v>
      </c>
      <c r="P34" s="393">
        <f>'Financial Inputs'!U174</f>
        <v>0</v>
      </c>
      <c r="Q34" s="392">
        <f>'Financial Inputs'!V174</f>
        <v>0</v>
      </c>
      <c r="R34" s="1"/>
      <c r="S34" s="1"/>
      <c r="T34" s="1"/>
      <c r="U34" s="1"/>
      <c r="V34" s="1"/>
      <c r="W34" s="1"/>
    </row>
    <row r="35" spans="15:23" ht="15.75" x14ac:dyDescent="0.25">
      <c r="O35" s="399">
        <f>'Financial Inputs'!T175</f>
        <v>0</v>
      </c>
      <c r="P35" s="389">
        <f>'Financial Inputs'!U175</f>
        <v>0</v>
      </c>
      <c r="Q35" s="391">
        <f>'Financial Inputs'!V175</f>
        <v>0</v>
      </c>
      <c r="R35" s="1"/>
      <c r="S35" s="1"/>
      <c r="T35" s="1"/>
      <c r="U35" s="1"/>
      <c r="V35" s="1"/>
      <c r="W35" s="1"/>
    </row>
    <row r="36" spans="15:23" ht="15.75" x14ac:dyDescent="0.25">
      <c r="O36" s="399">
        <f>'Financial Inputs'!T176</f>
        <v>0</v>
      </c>
      <c r="P36" s="389">
        <f>'Financial Inputs'!U176</f>
        <v>0</v>
      </c>
      <c r="Q36" s="391">
        <f>'Financial Inputs'!V176</f>
        <v>0</v>
      </c>
      <c r="R36" s="1"/>
      <c r="S36" s="1"/>
      <c r="T36" s="1"/>
      <c r="U36" s="1"/>
      <c r="V36" s="1"/>
      <c r="W36" s="1"/>
    </row>
    <row r="37" spans="15:23" ht="16.5" thickBot="1" x14ac:dyDescent="0.3">
      <c r="O37" s="1"/>
      <c r="P37" s="1"/>
      <c r="Q37" s="1"/>
      <c r="R37" s="1"/>
      <c r="S37" s="1"/>
      <c r="T37" s="1"/>
      <c r="U37" s="1"/>
      <c r="V37" s="1"/>
      <c r="W37" s="1"/>
    </row>
    <row r="38" spans="15:23" ht="16.5" thickBot="1" x14ac:dyDescent="0.3">
      <c r="O38" s="2" t="str">
        <f>'Financial Inputs'!T178</f>
        <v>Inflation rate sensitivity analysis (nominal)</v>
      </c>
      <c r="P38" s="429"/>
      <c r="Q38" s="430"/>
      <c r="R38" s="1"/>
      <c r="S38" s="1"/>
      <c r="T38" s="1"/>
      <c r="U38" s="1"/>
      <c r="V38" s="1"/>
      <c r="W38" s="1"/>
    </row>
    <row r="39" spans="15:23" ht="15.75" x14ac:dyDescent="0.25">
      <c r="O39" s="1"/>
      <c r="P39" s="390"/>
      <c r="Q39" s="390" t="str">
        <f>'Financial Inputs'!V179</f>
        <v>Annualized NPV</v>
      </c>
      <c r="R39" s="1"/>
      <c r="S39" s="1"/>
      <c r="T39" s="1"/>
      <c r="U39" s="1"/>
      <c r="V39" s="1"/>
      <c r="W39" s="1"/>
    </row>
    <row r="40" spans="15:23" ht="15.75" x14ac:dyDescent="0.25">
      <c r="O40" s="1"/>
      <c r="P40" s="390" t="str">
        <f>'Financial Inputs'!U180</f>
        <v>%/year</v>
      </c>
      <c r="Q40" s="455">
        <f>'Financial Inputs'!V180</f>
        <v>76614.011202316717</v>
      </c>
      <c r="R40" s="1"/>
      <c r="S40" s="1"/>
      <c r="T40" s="1"/>
      <c r="U40" s="1"/>
      <c r="V40" s="1"/>
      <c r="W40" s="1"/>
    </row>
    <row r="41" spans="15:23" ht="15.75" x14ac:dyDescent="0.25">
      <c r="O41" s="399">
        <f>'Financial Inputs'!T181</f>
        <v>0.5</v>
      </c>
      <c r="P41" s="402">
        <f>'Financial Inputs'!U181</f>
        <v>0.01</v>
      </c>
      <c r="Q41" s="391">
        <f>'Financial Inputs'!V181</f>
        <v>76614.011202316717</v>
      </c>
      <c r="R41" s="1"/>
      <c r="S41" s="1"/>
      <c r="T41" s="1"/>
      <c r="U41" s="1"/>
      <c r="V41" s="1"/>
      <c r="W41" s="1"/>
    </row>
    <row r="42" spans="15:23" ht="15.75" x14ac:dyDescent="0.25">
      <c r="O42" s="399">
        <f>'Financial Inputs'!T182</f>
        <v>0.75</v>
      </c>
      <c r="P42" s="402">
        <f>'Financial Inputs'!U182</f>
        <v>1.4999999999999999E-2</v>
      </c>
      <c r="Q42" s="391">
        <f>'Financial Inputs'!V182</f>
        <v>76614.011202316717</v>
      </c>
      <c r="R42" s="1"/>
      <c r="S42" s="1"/>
      <c r="T42" s="1"/>
      <c r="U42" s="1"/>
      <c r="V42" s="1"/>
      <c r="W42" s="1"/>
    </row>
    <row r="43" spans="15:23" ht="15.75" x14ac:dyDescent="0.25">
      <c r="O43" s="457">
        <f>'Financial Inputs'!T183</f>
        <v>1</v>
      </c>
      <c r="P43" s="462">
        <f>'Financial Inputs'!U183</f>
        <v>0.02</v>
      </c>
      <c r="Q43" s="392">
        <f>'Financial Inputs'!V183</f>
        <v>76614.011202316717</v>
      </c>
      <c r="R43" s="1"/>
      <c r="S43" s="1"/>
      <c r="T43" s="1"/>
      <c r="U43" s="1"/>
      <c r="V43" s="1"/>
      <c r="W43" s="1"/>
    </row>
    <row r="44" spans="15:23" ht="15.75" x14ac:dyDescent="0.25">
      <c r="O44" s="399">
        <f>'Financial Inputs'!T184</f>
        <v>1.25</v>
      </c>
      <c r="P44" s="402">
        <f>'Financial Inputs'!U184</f>
        <v>2.5000000000000001E-2</v>
      </c>
      <c r="Q44" s="391">
        <f>'Financial Inputs'!V184</f>
        <v>76614.011202316688</v>
      </c>
      <c r="R44" s="1"/>
      <c r="S44" s="1"/>
      <c r="T44" s="1"/>
      <c r="U44" s="1"/>
      <c r="V44" s="1"/>
      <c r="W44" s="1"/>
    </row>
    <row r="45" spans="15:23" ht="15.75" x14ac:dyDescent="0.25">
      <c r="O45" s="399">
        <f>'Financial Inputs'!T185</f>
        <v>1.5</v>
      </c>
      <c r="P45" s="402">
        <f>'Financial Inputs'!U185</f>
        <v>0.03</v>
      </c>
      <c r="Q45" s="391">
        <f>'Financial Inputs'!V185</f>
        <v>76614.011202316717</v>
      </c>
      <c r="R45" s="1"/>
      <c r="S45" s="1"/>
      <c r="T45" s="1"/>
      <c r="U45" s="1"/>
      <c r="V45" s="1"/>
      <c r="W45" s="1"/>
    </row>
    <row r="46" spans="15:23" ht="15.75" x14ac:dyDescent="0.25">
      <c r="O46" s="1"/>
      <c r="P46" s="391"/>
      <c r="Q46" s="1"/>
      <c r="R46" s="1"/>
      <c r="S46" s="1"/>
      <c r="T46" s="1"/>
      <c r="U46" s="1"/>
      <c r="V46" s="1"/>
      <c r="W46" s="1"/>
    </row>
    <row r="47" spans="15:23" ht="15.75" x14ac:dyDescent="0.25">
      <c r="O47" s="423" t="str">
        <f>'Financial Inputs'!T187</f>
        <v>Baseline for the "Real" interest rate sensitivity analysis below:</v>
      </c>
      <c r="P47" s="390"/>
      <c r="Q47" s="390"/>
      <c r="R47" s="390"/>
      <c r="S47" s="1"/>
      <c r="T47" s="1"/>
      <c r="W47" s="1"/>
    </row>
    <row r="48" spans="15:23" ht="15.75" x14ac:dyDescent="0.25">
      <c r="O48" s="390" t="str">
        <f>'Financial Inputs'!T188</f>
        <v>"Real"  interest rate on debt</v>
      </c>
      <c r="P48" s="466" t="str">
        <f>'Financial Inputs'!U188</f>
        <v>%</v>
      </c>
      <c r="Q48" s="465">
        <f>'Financial Inputs'!V188</f>
        <v>5.8823529411764719E-2</v>
      </c>
      <c r="R48" s="390"/>
      <c r="S48" s="1"/>
      <c r="T48" s="1"/>
      <c r="W48" s="1"/>
    </row>
    <row r="49" spans="15:23" ht="15.75" x14ac:dyDescent="0.25">
      <c r="O49" s="390" t="str">
        <f>'Financial Inputs'!T189</f>
        <v>Interest Rate on Debt</v>
      </c>
      <c r="P49" s="466" t="str">
        <f>'Financial Inputs'!U189</f>
        <v>%</v>
      </c>
      <c r="Q49" s="465">
        <f>'Financial Inputs'!V189</f>
        <v>8.0000000000000071E-2</v>
      </c>
      <c r="R49" s="390"/>
      <c r="S49" s="1"/>
      <c r="T49" s="1"/>
      <c r="W49" s="1"/>
    </row>
    <row r="50" spans="15:23" ht="15.75" x14ac:dyDescent="0.25">
      <c r="O50" s="390" t="str">
        <f>'Financial Inputs'!T190</f>
        <v>Equity Risk Premium</v>
      </c>
      <c r="P50" s="466" t="str">
        <f>'Financial Inputs'!U190</f>
        <v>%</v>
      </c>
      <c r="Q50" s="401">
        <f>'Financial Inputs'!V190</f>
        <v>2.0000000000000004E-2</v>
      </c>
      <c r="R50" s="390"/>
      <c r="S50" s="1"/>
      <c r="T50" s="1"/>
      <c r="W50" s="1"/>
    </row>
    <row r="51" spans="15:23" ht="15.75" x14ac:dyDescent="0.25">
      <c r="O51" s="390" t="str">
        <f>'Financial Inputs'!T191</f>
        <v>Target After-Tax Equity IRR</v>
      </c>
      <c r="P51" s="466" t="str">
        <f>'Financial Inputs'!U191</f>
        <v>%</v>
      </c>
      <c r="Q51" s="467">
        <f>'Financial Inputs'!V191</f>
        <v>0.10000000000000007</v>
      </c>
      <c r="R51" s="390"/>
      <c r="S51" s="1"/>
      <c r="T51" s="1"/>
      <c r="U51" s="1"/>
      <c r="V51" s="1"/>
      <c r="W51" s="1"/>
    </row>
    <row r="52" spans="15:23" ht="16.5" thickBot="1" x14ac:dyDescent="0.3">
      <c r="O52" s="1"/>
      <c r="P52" s="1"/>
      <c r="Q52" s="1"/>
      <c r="R52" s="1"/>
      <c r="S52" s="1"/>
      <c r="T52" s="1"/>
      <c r="U52" s="1"/>
      <c r="V52" s="1"/>
      <c r="W52" s="1"/>
    </row>
    <row r="53" spans="15:23" ht="16.5" thickBot="1" x14ac:dyDescent="0.3">
      <c r="O53" s="2" t="str">
        <f>'Financial Inputs'!T193</f>
        <v>"Real" Inflation rate sensitivity analysis</v>
      </c>
      <c r="P53" s="429"/>
      <c r="Q53" s="429"/>
      <c r="R53" s="430"/>
      <c r="S53" s="1"/>
      <c r="T53" s="1"/>
      <c r="U53" s="1"/>
      <c r="V53" s="1"/>
      <c r="W53" s="1"/>
    </row>
    <row r="54" spans="15:23" ht="30" x14ac:dyDescent="0.25">
      <c r="O54" s="379" t="str">
        <f>'Financial Inputs'!T194</f>
        <v>"Real" interest rate</v>
      </c>
      <c r="P54" s="464" t="str">
        <f>'Financial Inputs'!U194</f>
        <v>Nominal interest rate</v>
      </c>
      <c r="Q54" s="464" t="str">
        <f>'Financial Inputs'!V194</f>
        <v>Target rate of return</v>
      </c>
      <c r="R54" s="424"/>
      <c r="S54" s="1"/>
      <c r="T54" s="1"/>
      <c r="U54" s="1"/>
      <c r="V54" s="1"/>
      <c r="W54" s="1"/>
    </row>
    <row r="55" spans="15:23" ht="15.75" x14ac:dyDescent="0.25">
      <c r="O55" s="390" t="str">
        <f>'Financial Inputs'!T195</f>
        <v>%/year</v>
      </c>
      <c r="P55" s="463">
        <f>'Financial Inputs'!U195</f>
        <v>8.0000000000000071E-2</v>
      </c>
      <c r="Q55" s="463">
        <f>'Financial Inputs'!V195</f>
        <v>0.10000000000000007</v>
      </c>
      <c r="R55" s="455"/>
      <c r="S55" s="1"/>
      <c r="T55" s="1"/>
      <c r="U55" s="1"/>
      <c r="V55" s="1"/>
      <c r="W55" s="1"/>
    </row>
    <row r="56" spans="15:23" ht="15.75" x14ac:dyDescent="0.25">
      <c r="O56" s="402">
        <f>'Financial Inputs'!T196</f>
        <v>-0.02</v>
      </c>
      <c r="P56" s="431">
        <f>'Financial Inputs'!U196</f>
        <v>-3.9999999999995595E-4</v>
      </c>
      <c r="Q56" s="431">
        <f>'Financial Inputs'!V196</f>
        <v>1.9600000000000048E-2</v>
      </c>
      <c r="R56" s="391"/>
      <c r="S56" s="1"/>
      <c r="T56" s="1"/>
      <c r="U56" s="1"/>
      <c r="V56" s="1"/>
      <c r="W56" s="1"/>
    </row>
    <row r="57" spans="15:23" ht="15.75" x14ac:dyDescent="0.25">
      <c r="O57" s="402">
        <f>'Financial Inputs'!T197</f>
        <v>0</v>
      </c>
      <c r="P57" s="431">
        <f>'Financial Inputs'!U197</f>
        <v>2.0000000000000018E-2</v>
      </c>
      <c r="Q57" s="431">
        <f>'Financial Inputs'!V197</f>
        <v>4.0000000000000022E-2</v>
      </c>
      <c r="R57" s="391"/>
      <c r="S57" s="1"/>
      <c r="T57" s="1"/>
      <c r="U57" s="1"/>
      <c r="V57" s="1"/>
      <c r="W57" s="1"/>
    </row>
    <row r="58" spans="15:23" ht="15.75" x14ac:dyDescent="0.25">
      <c r="O58" s="402">
        <f>'Financial Inputs'!T198</f>
        <v>0.02</v>
      </c>
      <c r="P58" s="431">
        <f>'Financial Inputs'!U198</f>
        <v>4.0399999999999991E-2</v>
      </c>
      <c r="Q58" s="431">
        <f>'Financial Inputs'!V198</f>
        <v>6.0399999999999995E-2</v>
      </c>
      <c r="R58" s="392"/>
      <c r="S58" s="1"/>
      <c r="T58" s="1"/>
      <c r="U58" s="1"/>
      <c r="V58" s="1"/>
      <c r="W58" s="1"/>
    </row>
    <row r="59" spans="15:23" ht="15.75" x14ac:dyDescent="0.25">
      <c r="O59" s="402">
        <f>'Financial Inputs'!T199</f>
        <v>3.9999999999999994E-2</v>
      </c>
      <c r="P59" s="431">
        <f>'Financial Inputs'!U199</f>
        <v>6.0799999999999965E-2</v>
      </c>
      <c r="Q59" s="431">
        <f>'Financial Inputs'!V199</f>
        <v>8.0799999999999969E-2</v>
      </c>
      <c r="R59" s="391"/>
      <c r="S59" s="1"/>
      <c r="T59" s="1"/>
      <c r="U59" s="1"/>
      <c r="V59" s="1"/>
      <c r="W59" s="1"/>
    </row>
    <row r="60" spans="15:23" ht="15.75" x14ac:dyDescent="0.25">
      <c r="O60" s="402">
        <f>'Financial Inputs'!T200</f>
        <v>0.06</v>
      </c>
      <c r="P60" s="431">
        <f>'Financial Inputs'!U200</f>
        <v>8.1200000000000161E-2</v>
      </c>
      <c r="Q60" s="431">
        <f>'Financial Inputs'!V200</f>
        <v>0.10120000000000016</v>
      </c>
      <c r="R60" s="391"/>
      <c r="S60" s="1"/>
      <c r="T60" s="1"/>
      <c r="U60" s="1"/>
      <c r="V60" s="1"/>
      <c r="W60" s="1"/>
    </row>
  </sheetData>
  <sheetProtection sheet="1" objects="1" scenarios="1"/>
  <pageMargins left="0.7" right="0.7" top="0.75" bottom="0.75" header="0.3" footer="0.3"/>
  <pageSetup orientation="portrait" horizontalDpi="0" verticalDpi="0"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1"/>
  <dimension ref="B1:O64"/>
  <sheetViews>
    <sheetView workbookViewId="0"/>
  </sheetViews>
  <sheetFormatPr defaultColWidth="8.85546875" defaultRowHeight="14.25" x14ac:dyDescent="0.2"/>
  <cols>
    <col min="1" max="1" width="2.42578125" style="108" customWidth="1"/>
    <col min="2" max="2" width="68.42578125" style="108" customWidth="1"/>
    <col min="3" max="3" width="15.42578125" style="108" customWidth="1"/>
    <col min="4" max="4" width="22.7109375" style="108" bestFit="1" customWidth="1"/>
    <col min="5" max="5" width="3.85546875" style="108" customWidth="1"/>
    <col min="6" max="15" width="26.28515625" style="108" bestFit="1" customWidth="1"/>
    <col min="16" max="243" width="9.140625" style="108"/>
    <col min="244" max="244" width="21.42578125" style="108" customWidth="1"/>
    <col min="245" max="245" width="16.42578125" style="108" customWidth="1"/>
    <col min="246" max="246" width="18" style="108" customWidth="1"/>
    <col min="247" max="247" width="23.7109375" style="108" customWidth="1"/>
    <col min="248" max="248" width="26" style="108" customWidth="1"/>
    <col min="249" max="249" width="21.42578125" style="108" customWidth="1"/>
    <col min="250" max="250" width="20.85546875" style="108" customWidth="1"/>
    <col min="251" max="251" width="0" style="108" hidden="1" customWidth="1"/>
    <col min="252" max="499" width="9.140625" style="108"/>
    <col min="500" max="500" width="21.42578125" style="108" customWidth="1"/>
    <col min="501" max="501" width="16.42578125" style="108" customWidth="1"/>
    <col min="502" max="502" width="18" style="108" customWidth="1"/>
    <col min="503" max="503" width="23.7109375" style="108" customWidth="1"/>
    <col min="504" max="504" width="26" style="108" customWidth="1"/>
    <col min="505" max="505" width="21.42578125" style="108" customWidth="1"/>
    <col min="506" max="506" width="20.85546875" style="108" customWidth="1"/>
    <col min="507" max="507" width="0" style="108" hidden="1" customWidth="1"/>
    <col min="508" max="755" width="9.140625" style="108"/>
    <col min="756" max="756" width="21.42578125" style="108" customWidth="1"/>
    <col min="757" max="757" width="16.42578125" style="108" customWidth="1"/>
    <col min="758" max="758" width="18" style="108" customWidth="1"/>
    <col min="759" max="759" width="23.7109375" style="108" customWidth="1"/>
    <col min="760" max="760" width="26" style="108" customWidth="1"/>
    <col min="761" max="761" width="21.42578125" style="108" customWidth="1"/>
    <col min="762" max="762" width="20.85546875" style="108" customWidth="1"/>
    <col min="763" max="763" width="0" style="108" hidden="1" customWidth="1"/>
    <col min="764" max="1011" width="9.140625" style="108"/>
    <col min="1012" max="1012" width="21.42578125" style="108" customWidth="1"/>
    <col min="1013" max="1013" width="16.42578125" style="108" customWidth="1"/>
    <col min="1014" max="1014" width="18" style="108" customWidth="1"/>
    <col min="1015" max="1015" width="23.7109375" style="108" customWidth="1"/>
    <col min="1016" max="1016" width="26" style="108" customWidth="1"/>
    <col min="1017" max="1017" width="21.42578125" style="108" customWidth="1"/>
    <col min="1018" max="1018" width="20.85546875" style="108" customWidth="1"/>
    <col min="1019" max="1019" width="0" style="108" hidden="1" customWidth="1"/>
    <col min="1020" max="1267" width="9.140625" style="108"/>
    <col min="1268" max="1268" width="21.42578125" style="108" customWidth="1"/>
    <col min="1269" max="1269" width="16.42578125" style="108" customWidth="1"/>
    <col min="1270" max="1270" width="18" style="108" customWidth="1"/>
    <col min="1271" max="1271" width="23.7109375" style="108" customWidth="1"/>
    <col min="1272" max="1272" width="26" style="108" customWidth="1"/>
    <col min="1273" max="1273" width="21.42578125" style="108" customWidth="1"/>
    <col min="1274" max="1274" width="20.85546875" style="108" customWidth="1"/>
    <col min="1275" max="1275" width="0" style="108" hidden="1" customWidth="1"/>
    <col min="1276" max="1523" width="9.140625" style="108"/>
    <col min="1524" max="1524" width="21.42578125" style="108" customWidth="1"/>
    <col min="1525" max="1525" width="16.42578125" style="108" customWidth="1"/>
    <col min="1526" max="1526" width="18" style="108" customWidth="1"/>
    <col min="1527" max="1527" width="23.7109375" style="108" customWidth="1"/>
    <col min="1528" max="1528" width="26" style="108" customWidth="1"/>
    <col min="1529" max="1529" width="21.42578125" style="108" customWidth="1"/>
    <col min="1530" max="1530" width="20.85546875" style="108" customWidth="1"/>
    <col min="1531" max="1531" width="0" style="108" hidden="1" customWidth="1"/>
    <col min="1532" max="1779" width="9.140625" style="108"/>
    <col min="1780" max="1780" width="21.42578125" style="108" customWidth="1"/>
    <col min="1781" max="1781" width="16.42578125" style="108" customWidth="1"/>
    <col min="1782" max="1782" width="18" style="108" customWidth="1"/>
    <col min="1783" max="1783" width="23.7109375" style="108" customWidth="1"/>
    <col min="1784" max="1784" width="26" style="108" customWidth="1"/>
    <col min="1785" max="1785" width="21.42578125" style="108" customWidth="1"/>
    <col min="1786" max="1786" width="20.85546875" style="108" customWidth="1"/>
    <col min="1787" max="1787" width="0" style="108" hidden="1" customWidth="1"/>
    <col min="1788" max="2035" width="9.140625" style="108"/>
    <col min="2036" max="2036" width="21.42578125" style="108" customWidth="1"/>
    <col min="2037" max="2037" width="16.42578125" style="108" customWidth="1"/>
    <col min="2038" max="2038" width="18" style="108" customWidth="1"/>
    <col min="2039" max="2039" width="23.7109375" style="108" customWidth="1"/>
    <col min="2040" max="2040" width="26" style="108" customWidth="1"/>
    <col min="2041" max="2041" width="21.42578125" style="108" customWidth="1"/>
    <col min="2042" max="2042" width="20.85546875" style="108" customWidth="1"/>
    <col min="2043" max="2043" width="0" style="108" hidden="1" customWidth="1"/>
    <col min="2044" max="2291" width="9.140625" style="108"/>
    <col min="2292" max="2292" width="21.42578125" style="108" customWidth="1"/>
    <col min="2293" max="2293" width="16.42578125" style="108" customWidth="1"/>
    <col min="2294" max="2294" width="18" style="108" customWidth="1"/>
    <col min="2295" max="2295" width="23.7109375" style="108" customWidth="1"/>
    <col min="2296" max="2296" width="26" style="108" customWidth="1"/>
    <col min="2297" max="2297" width="21.42578125" style="108" customWidth="1"/>
    <col min="2298" max="2298" width="20.85546875" style="108" customWidth="1"/>
    <col min="2299" max="2299" width="0" style="108" hidden="1" customWidth="1"/>
    <col min="2300" max="2547" width="9.140625" style="108"/>
    <col min="2548" max="2548" width="21.42578125" style="108" customWidth="1"/>
    <col min="2549" max="2549" width="16.42578125" style="108" customWidth="1"/>
    <col min="2550" max="2550" width="18" style="108" customWidth="1"/>
    <col min="2551" max="2551" width="23.7109375" style="108" customWidth="1"/>
    <col min="2552" max="2552" width="26" style="108" customWidth="1"/>
    <col min="2553" max="2553" width="21.42578125" style="108" customWidth="1"/>
    <col min="2554" max="2554" width="20.85546875" style="108" customWidth="1"/>
    <col min="2555" max="2555" width="0" style="108" hidden="1" customWidth="1"/>
    <col min="2556" max="2803" width="9.140625" style="108"/>
    <col min="2804" max="2804" width="21.42578125" style="108" customWidth="1"/>
    <col min="2805" max="2805" width="16.42578125" style="108" customWidth="1"/>
    <col min="2806" max="2806" width="18" style="108" customWidth="1"/>
    <col min="2807" max="2807" width="23.7109375" style="108" customWidth="1"/>
    <col min="2808" max="2808" width="26" style="108" customWidth="1"/>
    <col min="2809" max="2809" width="21.42578125" style="108" customWidth="1"/>
    <col min="2810" max="2810" width="20.85546875" style="108" customWidth="1"/>
    <col min="2811" max="2811" width="0" style="108" hidden="1" customWidth="1"/>
    <col min="2812" max="3059" width="9.140625" style="108"/>
    <col min="3060" max="3060" width="21.42578125" style="108" customWidth="1"/>
    <col min="3061" max="3061" width="16.42578125" style="108" customWidth="1"/>
    <col min="3062" max="3062" width="18" style="108" customWidth="1"/>
    <col min="3063" max="3063" width="23.7109375" style="108" customWidth="1"/>
    <col min="3064" max="3064" width="26" style="108" customWidth="1"/>
    <col min="3065" max="3065" width="21.42578125" style="108" customWidth="1"/>
    <col min="3066" max="3066" width="20.85546875" style="108" customWidth="1"/>
    <col min="3067" max="3067" width="0" style="108" hidden="1" customWidth="1"/>
    <col min="3068" max="3315" width="9.140625" style="108"/>
    <col min="3316" max="3316" width="21.42578125" style="108" customWidth="1"/>
    <col min="3317" max="3317" width="16.42578125" style="108" customWidth="1"/>
    <col min="3318" max="3318" width="18" style="108" customWidth="1"/>
    <col min="3319" max="3319" width="23.7109375" style="108" customWidth="1"/>
    <col min="3320" max="3320" width="26" style="108" customWidth="1"/>
    <col min="3321" max="3321" width="21.42578125" style="108" customWidth="1"/>
    <col min="3322" max="3322" width="20.85546875" style="108" customWidth="1"/>
    <col min="3323" max="3323" width="0" style="108" hidden="1" customWidth="1"/>
    <col min="3324" max="3571" width="9.140625" style="108"/>
    <col min="3572" max="3572" width="21.42578125" style="108" customWidth="1"/>
    <col min="3573" max="3573" width="16.42578125" style="108" customWidth="1"/>
    <col min="3574" max="3574" width="18" style="108" customWidth="1"/>
    <col min="3575" max="3575" width="23.7109375" style="108" customWidth="1"/>
    <col min="3576" max="3576" width="26" style="108" customWidth="1"/>
    <col min="3577" max="3577" width="21.42578125" style="108" customWidth="1"/>
    <col min="3578" max="3578" width="20.85546875" style="108" customWidth="1"/>
    <col min="3579" max="3579" width="0" style="108" hidden="1" customWidth="1"/>
    <col min="3580" max="3827" width="9.140625" style="108"/>
    <col min="3828" max="3828" width="21.42578125" style="108" customWidth="1"/>
    <col min="3829" max="3829" width="16.42578125" style="108" customWidth="1"/>
    <col min="3830" max="3830" width="18" style="108" customWidth="1"/>
    <col min="3831" max="3831" width="23.7109375" style="108" customWidth="1"/>
    <col min="3832" max="3832" width="26" style="108" customWidth="1"/>
    <col min="3833" max="3833" width="21.42578125" style="108" customWidth="1"/>
    <col min="3834" max="3834" width="20.85546875" style="108" customWidth="1"/>
    <col min="3835" max="3835" width="0" style="108" hidden="1" customWidth="1"/>
    <col min="3836" max="4083" width="9.140625" style="108"/>
    <col min="4084" max="4084" width="21.42578125" style="108" customWidth="1"/>
    <col min="4085" max="4085" width="16.42578125" style="108" customWidth="1"/>
    <col min="4086" max="4086" width="18" style="108" customWidth="1"/>
    <col min="4087" max="4087" width="23.7109375" style="108" customWidth="1"/>
    <col min="4088" max="4088" width="26" style="108" customWidth="1"/>
    <col min="4089" max="4089" width="21.42578125" style="108" customWidth="1"/>
    <col min="4090" max="4090" width="20.85546875" style="108" customWidth="1"/>
    <col min="4091" max="4091" width="0" style="108" hidden="1" customWidth="1"/>
    <col min="4092" max="4339" width="9.140625" style="108"/>
    <col min="4340" max="4340" width="21.42578125" style="108" customWidth="1"/>
    <col min="4341" max="4341" width="16.42578125" style="108" customWidth="1"/>
    <col min="4342" max="4342" width="18" style="108" customWidth="1"/>
    <col min="4343" max="4343" width="23.7109375" style="108" customWidth="1"/>
    <col min="4344" max="4344" width="26" style="108" customWidth="1"/>
    <col min="4345" max="4345" width="21.42578125" style="108" customWidth="1"/>
    <col min="4346" max="4346" width="20.85546875" style="108" customWidth="1"/>
    <col min="4347" max="4347" width="0" style="108" hidden="1" customWidth="1"/>
    <col min="4348" max="4595" width="9.140625" style="108"/>
    <col min="4596" max="4596" width="21.42578125" style="108" customWidth="1"/>
    <col min="4597" max="4597" width="16.42578125" style="108" customWidth="1"/>
    <col min="4598" max="4598" width="18" style="108" customWidth="1"/>
    <col min="4599" max="4599" width="23.7109375" style="108" customWidth="1"/>
    <col min="4600" max="4600" width="26" style="108" customWidth="1"/>
    <col min="4601" max="4601" width="21.42578125" style="108" customWidth="1"/>
    <col min="4602" max="4602" width="20.85546875" style="108" customWidth="1"/>
    <col min="4603" max="4603" width="0" style="108" hidden="1" customWidth="1"/>
    <col min="4604" max="4851" width="9.140625" style="108"/>
    <col min="4852" max="4852" width="21.42578125" style="108" customWidth="1"/>
    <col min="4853" max="4853" width="16.42578125" style="108" customWidth="1"/>
    <col min="4854" max="4854" width="18" style="108" customWidth="1"/>
    <col min="4855" max="4855" width="23.7109375" style="108" customWidth="1"/>
    <col min="4856" max="4856" width="26" style="108" customWidth="1"/>
    <col min="4857" max="4857" width="21.42578125" style="108" customWidth="1"/>
    <col min="4858" max="4858" width="20.85546875" style="108" customWidth="1"/>
    <col min="4859" max="4859" width="0" style="108" hidden="1" customWidth="1"/>
    <col min="4860" max="5107" width="9.140625" style="108"/>
    <col min="5108" max="5108" width="21.42578125" style="108" customWidth="1"/>
    <col min="5109" max="5109" width="16.42578125" style="108" customWidth="1"/>
    <col min="5110" max="5110" width="18" style="108" customWidth="1"/>
    <col min="5111" max="5111" width="23.7109375" style="108" customWidth="1"/>
    <col min="5112" max="5112" width="26" style="108" customWidth="1"/>
    <col min="5113" max="5113" width="21.42578125" style="108" customWidth="1"/>
    <col min="5114" max="5114" width="20.85546875" style="108" customWidth="1"/>
    <col min="5115" max="5115" width="0" style="108" hidden="1" customWidth="1"/>
    <col min="5116" max="5363" width="9.140625" style="108"/>
    <col min="5364" max="5364" width="21.42578125" style="108" customWidth="1"/>
    <col min="5365" max="5365" width="16.42578125" style="108" customWidth="1"/>
    <col min="5366" max="5366" width="18" style="108" customWidth="1"/>
    <col min="5367" max="5367" width="23.7109375" style="108" customWidth="1"/>
    <col min="5368" max="5368" width="26" style="108" customWidth="1"/>
    <col min="5369" max="5369" width="21.42578125" style="108" customWidth="1"/>
    <col min="5370" max="5370" width="20.85546875" style="108" customWidth="1"/>
    <col min="5371" max="5371" width="0" style="108" hidden="1" customWidth="1"/>
    <col min="5372" max="5619" width="9.140625" style="108"/>
    <col min="5620" max="5620" width="21.42578125" style="108" customWidth="1"/>
    <col min="5621" max="5621" width="16.42578125" style="108" customWidth="1"/>
    <col min="5622" max="5622" width="18" style="108" customWidth="1"/>
    <col min="5623" max="5623" width="23.7109375" style="108" customWidth="1"/>
    <col min="5624" max="5624" width="26" style="108" customWidth="1"/>
    <col min="5625" max="5625" width="21.42578125" style="108" customWidth="1"/>
    <col min="5626" max="5626" width="20.85546875" style="108" customWidth="1"/>
    <col min="5627" max="5627" width="0" style="108" hidden="1" customWidth="1"/>
    <col min="5628" max="5875" width="9.140625" style="108"/>
    <col min="5876" max="5876" width="21.42578125" style="108" customWidth="1"/>
    <col min="5877" max="5877" width="16.42578125" style="108" customWidth="1"/>
    <col min="5878" max="5878" width="18" style="108" customWidth="1"/>
    <col min="5879" max="5879" width="23.7109375" style="108" customWidth="1"/>
    <col min="5880" max="5880" width="26" style="108" customWidth="1"/>
    <col min="5881" max="5881" width="21.42578125" style="108" customWidth="1"/>
    <col min="5882" max="5882" width="20.85546875" style="108" customWidth="1"/>
    <col min="5883" max="5883" width="0" style="108" hidden="1" customWidth="1"/>
    <col min="5884" max="6131" width="9.140625" style="108"/>
    <col min="6132" max="6132" width="21.42578125" style="108" customWidth="1"/>
    <col min="6133" max="6133" width="16.42578125" style="108" customWidth="1"/>
    <col min="6134" max="6134" width="18" style="108" customWidth="1"/>
    <col min="6135" max="6135" width="23.7109375" style="108" customWidth="1"/>
    <col min="6136" max="6136" width="26" style="108" customWidth="1"/>
    <col min="6137" max="6137" width="21.42578125" style="108" customWidth="1"/>
    <col min="6138" max="6138" width="20.85546875" style="108" customWidth="1"/>
    <col min="6139" max="6139" width="0" style="108" hidden="1" customWidth="1"/>
    <col min="6140" max="6387" width="9.140625" style="108"/>
    <col min="6388" max="6388" width="21.42578125" style="108" customWidth="1"/>
    <col min="6389" max="6389" width="16.42578125" style="108" customWidth="1"/>
    <col min="6390" max="6390" width="18" style="108" customWidth="1"/>
    <col min="6391" max="6391" width="23.7109375" style="108" customWidth="1"/>
    <col min="6392" max="6392" width="26" style="108" customWidth="1"/>
    <col min="6393" max="6393" width="21.42578125" style="108" customWidth="1"/>
    <col min="6394" max="6394" width="20.85546875" style="108" customWidth="1"/>
    <col min="6395" max="6395" width="0" style="108" hidden="1" customWidth="1"/>
    <col min="6396" max="6643" width="9.140625" style="108"/>
    <col min="6644" max="6644" width="21.42578125" style="108" customWidth="1"/>
    <col min="6645" max="6645" width="16.42578125" style="108" customWidth="1"/>
    <col min="6646" max="6646" width="18" style="108" customWidth="1"/>
    <col min="6647" max="6647" width="23.7109375" style="108" customWidth="1"/>
    <col min="6648" max="6648" width="26" style="108" customWidth="1"/>
    <col min="6649" max="6649" width="21.42578125" style="108" customWidth="1"/>
    <col min="6650" max="6650" width="20.85546875" style="108" customWidth="1"/>
    <col min="6651" max="6651" width="0" style="108" hidden="1" customWidth="1"/>
    <col min="6652" max="6899" width="9.140625" style="108"/>
    <col min="6900" max="6900" width="21.42578125" style="108" customWidth="1"/>
    <col min="6901" max="6901" width="16.42578125" style="108" customWidth="1"/>
    <col min="6902" max="6902" width="18" style="108" customWidth="1"/>
    <col min="6903" max="6903" width="23.7109375" style="108" customWidth="1"/>
    <col min="6904" max="6904" width="26" style="108" customWidth="1"/>
    <col min="6905" max="6905" width="21.42578125" style="108" customWidth="1"/>
    <col min="6906" max="6906" width="20.85546875" style="108" customWidth="1"/>
    <col min="6907" max="6907" width="0" style="108" hidden="1" customWidth="1"/>
    <col min="6908" max="7155" width="9.140625" style="108"/>
    <col min="7156" max="7156" width="21.42578125" style="108" customWidth="1"/>
    <col min="7157" max="7157" width="16.42578125" style="108" customWidth="1"/>
    <col min="7158" max="7158" width="18" style="108" customWidth="1"/>
    <col min="7159" max="7159" width="23.7109375" style="108" customWidth="1"/>
    <col min="7160" max="7160" width="26" style="108" customWidth="1"/>
    <col min="7161" max="7161" width="21.42578125" style="108" customWidth="1"/>
    <col min="7162" max="7162" width="20.85546875" style="108" customWidth="1"/>
    <col min="7163" max="7163" width="0" style="108" hidden="1" customWidth="1"/>
    <col min="7164" max="7411" width="9.140625" style="108"/>
    <col min="7412" max="7412" width="21.42578125" style="108" customWidth="1"/>
    <col min="7413" max="7413" width="16.42578125" style="108" customWidth="1"/>
    <col min="7414" max="7414" width="18" style="108" customWidth="1"/>
    <col min="7415" max="7415" width="23.7109375" style="108" customWidth="1"/>
    <col min="7416" max="7416" width="26" style="108" customWidth="1"/>
    <col min="7417" max="7417" width="21.42578125" style="108" customWidth="1"/>
    <col min="7418" max="7418" width="20.85546875" style="108" customWidth="1"/>
    <col min="7419" max="7419" width="0" style="108" hidden="1" customWidth="1"/>
    <col min="7420" max="7667" width="9.140625" style="108"/>
    <col min="7668" max="7668" width="21.42578125" style="108" customWidth="1"/>
    <col min="7669" max="7669" width="16.42578125" style="108" customWidth="1"/>
    <col min="7670" max="7670" width="18" style="108" customWidth="1"/>
    <col min="7671" max="7671" width="23.7109375" style="108" customWidth="1"/>
    <col min="7672" max="7672" width="26" style="108" customWidth="1"/>
    <col min="7673" max="7673" width="21.42578125" style="108" customWidth="1"/>
    <col min="7674" max="7674" width="20.85546875" style="108" customWidth="1"/>
    <col min="7675" max="7675" width="0" style="108" hidden="1" customWidth="1"/>
    <col min="7676" max="7923" width="9.140625" style="108"/>
    <col min="7924" max="7924" width="21.42578125" style="108" customWidth="1"/>
    <col min="7925" max="7925" width="16.42578125" style="108" customWidth="1"/>
    <col min="7926" max="7926" width="18" style="108" customWidth="1"/>
    <col min="7927" max="7927" width="23.7109375" style="108" customWidth="1"/>
    <col min="7928" max="7928" width="26" style="108" customWidth="1"/>
    <col min="7929" max="7929" width="21.42578125" style="108" customWidth="1"/>
    <col min="7930" max="7930" width="20.85546875" style="108" customWidth="1"/>
    <col min="7931" max="7931" width="0" style="108" hidden="1" customWidth="1"/>
    <col min="7932" max="8179" width="9.140625" style="108"/>
    <col min="8180" max="8180" width="21.42578125" style="108" customWidth="1"/>
    <col min="8181" max="8181" width="16.42578125" style="108" customWidth="1"/>
    <col min="8182" max="8182" width="18" style="108" customWidth="1"/>
    <col min="8183" max="8183" width="23.7109375" style="108" customWidth="1"/>
    <col min="8184" max="8184" width="26" style="108" customWidth="1"/>
    <col min="8185" max="8185" width="21.42578125" style="108" customWidth="1"/>
    <col min="8186" max="8186" width="20.85546875" style="108" customWidth="1"/>
    <col min="8187" max="8187" width="0" style="108" hidden="1" customWidth="1"/>
    <col min="8188" max="8435" width="9.140625" style="108"/>
    <col min="8436" max="8436" width="21.42578125" style="108" customWidth="1"/>
    <col min="8437" max="8437" width="16.42578125" style="108" customWidth="1"/>
    <col min="8438" max="8438" width="18" style="108" customWidth="1"/>
    <col min="8439" max="8439" width="23.7109375" style="108" customWidth="1"/>
    <col min="8440" max="8440" width="26" style="108" customWidth="1"/>
    <col min="8441" max="8441" width="21.42578125" style="108" customWidth="1"/>
    <col min="8442" max="8442" width="20.85546875" style="108" customWidth="1"/>
    <col min="8443" max="8443" width="0" style="108" hidden="1" customWidth="1"/>
    <col min="8444" max="8691" width="9.140625" style="108"/>
    <col min="8692" max="8692" width="21.42578125" style="108" customWidth="1"/>
    <col min="8693" max="8693" width="16.42578125" style="108" customWidth="1"/>
    <col min="8694" max="8694" width="18" style="108" customWidth="1"/>
    <col min="8695" max="8695" width="23.7109375" style="108" customWidth="1"/>
    <col min="8696" max="8696" width="26" style="108" customWidth="1"/>
    <col min="8697" max="8697" width="21.42578125" style="108" customWidth="1"/>
    <col min="8698" max="8698" width="20.85546875" style="108" customWidth="1"/>
    <col min="8699" max="8699" width="0" style="108" hidden="1" customWidth="1"/>
    <col min="8700" max="8947" width="9.140625" style="108"/>
    <col min="8948" max="8948" width="21.42578125" style="108" customWidth="1"/>
    <col min="8949" max="8949" width="16.42578125" style="108" customWidth="1"/>
    <col min="8950" max="8950" width="18" style="108" customWidth="1"/>
    <col min="8951" max="8951" width="23.7109375" style="108" customWidth="1"/>
    <col min="8952" max="8952" width="26" style="108" customWidth="1"/>
    <col min="8953" max="8953" width="21.42578125" style="108" customWidth="1"/>
    <col min="8954" max="8954" width="20.85546875" style="108" customWidth="1"/>
    <col min="8955" max="8955" width="0" style="108" hidden="1" customWidth="1"/>
    <col min="8956" max="9203" width="9.140625" style="108"/>
    <col min="9204" max="9204" width="21.42578125" style="108" customWidth="1"/>
    <col min="9205" max="9205" width="16.42578125" style="108" customWidth="1"/>
    <col min="9206" max="9206" width="18" style="108" customWidth="1"/>
    <col min="9207" max="9207" width="23.7109375" style="108" customWidth="1"/>
    <col min="9208" max="9208" width="26" style="108" customWidth="1"/>
    <col min="9209" max="9209" width="21.42578125" style="108" customWidth="1"/>
    <col min="9210" max="9210" width="20.85546875" style="108" customWidth="1"/>
    <col min="9211" max="9211" width="0" style="108" hidden="1" customWidth="1"/>
    <col min="9212" max="9459" width="9.140625" style="108"/>
    <col min="9460" max="9460" width="21.42578125" style="108" customWidth="1"/>
    <col min="9461" max="9461" width="16.42578125" style="108" customWidth="1"/>
    <col min="9462" max="9462" width="18" style="108" customWidth="1"/>
    <col min="9463" max="9463" width="23.7109375" style="108" customWidth="1"/>
    <col min="9464" max="9464" width="26" style="108" customWidth="1"/>
    <col min="9465" max="9465" width="21.42578125" style="108" customWidth="1"/>
    <col min="9466" max="9466" width="20.85546875" style="108" customWidth="1"/>
    <col min="9467" max="9467" width="0" style="108" hidden="1" customWidth="1"/>
    <col min="9468" max="9715" width="9.140625" style="108"/>
    <col min="9716" max="9716" width="21.42578125" style="108" customWidth="1"/>
    <col min="9717" max="9717" width="16.42578125" style="108" customWidth="1"/>
    <col min="9718" max="9718" width="18" style="108" customWidth="1"/>
    <col min="9719" max="9719" width="23.7109375" style="108" customWidth="1"/>
    <col min="9720" max="9720" width="26" style="108" customWidth="1"/>
    <col min="9721" max="9721" width="21.42578125" style="108" customWidth="1"/>
    <col min="9722" max="9722" width="20.85546875" style="108" customWidth="1"/>
    <col min="9723" max="9723" width="0" style="108" hidden="1" customWidth="1"/>
    <col min="9724" max="9971" width="9.140625" style="108"/>
    <col min="9972" max="9972" width="21.42578125" style="108" customWidth="1"/>
    <col min="9973" max="9973" width="16.42578125" style="108" customWidth="1"/>
    <col min="9974" max="9974" width="18" style="108" customWidth="1"/>
    <col min="9975" max="9975" width="23.7109375" style="108" customWidth="1"/>
    <col min="9976" max="9976" width="26" style="108" customWidth="1"/>
    <col min="9977" max="9977" width="21.42578125" style="108" customWidth="1"/>
    <col min="9978" max="9978" width="20.85546875" style="108" customWidth="1"/>
    <col min="9979" max="9979" width="0" style="108" hidden="1" customWidth="1"/>
    <col min="9980" max="10227" width="9.140625" style="108"/>
    <col min="10228" max="10228" width="21.42578125" style="108" customWidth="1"/>
    <col min="10229" max="10229" width="16.42578125" style="108" customWidth="1"/>
    <col min="10230" max="10230" width="18" style="108" customWidth="1"/>
    <col min="10231" max="10231" width="23.7109375" style="108" customWidth="1"/>
    <col min="10232" max="10232" width="26" style="108" customWidth="1"/>
    <col min="10233" max="10233" width="21.42578125" style="108" customWidth="1"/>
    <col min="10234" max="10234" width="20.85546875" style="108" customWidth="1"/>
    <col min="10235" max="10235" width="0" style="108" hidden="1" customWidth="1"/>
    <col min="10236" max="10483" width="9.140625" style="108"/>
    <col min="10484" max="10484" width="21.42578125" style="108" customWidth="1"/>
    <col min="10485" max="10485" width="16.42578125" style="108" customWidth="1"/>
    <col min="10486" max="10486" width="18" style="108" customWidth="1"/>
    <col min="10487" max="10487" width="23.7109375" style="108" customWidth="1"/>
    <col min="10488" max="10488" width="26" style="108" customWidth="1"/>
    <col min="10489" max="10489" width="21.42578125" style="108" customWidth="1"/>
    <col min="10490" max="10490" width="20.85546875" style="108" customWidth="1"/>
    <col min="10491" max="10491" width="0" style="108" hidden="1" customWidth="1"/>
    <col min="10492" max="10739" width="9.140625" style="108"/>
    <col min="10740" max="10740" width="21.42578125" style="108" customWidth="1"/>
    <col min="10741" max="10741" width="16.42578125" style="108" customWidth="1"/>
    <col min="10742" max="10742" width="18" style="108" customWidth="1"/>
    <col min="10743" max="10743" width="23.7109375" style="108" customWidth="1"/>
    <col min="10744" max="10744" width="26" style="108" customWidth="1"/>
    <col min="10745" max="10745" width="21.42578125" style="108" customWidth="1"/>
    <col min="10746" max="10746" width="20.85546875" style="108" customWidth="1"/>
    <col min="10747" max="10747" width="0" style="108" hidden="1" customWidth="1"/>
    <col min="10748" max="10995" width="9.140625" style="108"/>
    <col min="10996" max="10996" width="21.42578125" style="108" customWidth="1"/>
    <col min="10997" max="10997" width="16.42578125" style="108" customWidth="1"/>
    <col min="10998" max="10998" width="18" style="108" customWidth="1"/>
    <col min="10999" max="10999" width="23.7109375" style="108" customWidth="1"/>
    <col min="11000" max="11000" width="26" style="108" customWidth="1"/>
    <col min="11001" max="11001" width="21.42578125" style="108" customWidth="1"/>
    <col min="11002" max="11002" width="20.85546875" style="108" customWidth="1"/>
    <col min="11003" max="11003" width="0" style="108" hidden="1" customWidth="1"/>
    <col min="11004" max="11251" width="9.140625" style="108"/>
    <col min="11252" max="11252" width="21.42578125" style="108" customWidth="1"/>
    <col min="11253" max="11253" width="16.42578125" style="108" customWidth="1"/>
    <col min="11254" max="11254" width="18" style="108" customWidth="1"/>
    <col min="11255" max="11255" width="23.7109375" style="108" customWidth="1"/>
    <col min="11256" max="11256" width="26" style="108" customWidth="1"/>
    <col min="11257" max="11257" width="21.42578125" style="108" customWidth="1"/>
    <col min="11258" max="11258" width="20.85546875" style="108" customWidth="1"/>
    <col min="11259" max="11259" width="0" style="108" hidden="1" customWidth="1"/>
    <col min="11260" max="11507" width="9.140625" style="108"/>
    <col min="11508" max="11508" width="21.42578125" style="108" customWidth="1"/>
    <col min="11509" max="11509" width="16.42578125" style="108" customWidth="1"/>
    <col min="11510" max="11510" width="18" style="108" customWidth="1"/>
    <col min="11511" max="11511" width="23.7109375" style="108" customWidth="1"/>
    <col min="11512" max="11512" width="26" style="108" customWidth="1"/>
    <col min="11513" max="11513" width="21.42578125" style="108" customWidth="1"/>
    <col min="11514" max="11514" width="20.85546875" style="108" customWidth="1"/>
    <col min="11515" max="11515" width="0" style="108" hidden="1" customWidth="1"/>
    <col min="11516" max="11763" width="9.140625" style="108"/>
    <col min="11764" max="11764" width="21.42578125" style="108" customWidth="1"/>
    <col min="11765" max="11765" width="16.42578125" style="108" customWidth="1"/>
    <col min="11766" max="11766" width="18" style="108" customWidth="1"/>
    <col min="11767" max="11767" width="23.7109375" style="108" customWidth="1"/>
    <col min="11768" max="11768" width="26" style="108" customWidth="1"/>
    <col min="11769" max="11769" width="21.42578125" style="108" customWidth="1"/>
    <col min="11770" max="11770" width="20.85546875" style="108" customWidth="1"/>
    <col min="11771" max="11771" width="0" style="108" hidden="1" customWidth="1"/>
    <col min="11772" max="12019" width="9.140625" style="108"/>
    <col min="12020" max="12020" width="21.42578125" style="108" customWidth="1"/>
    <col min="12021" max="12021" width="16.42578125" style="108" customWidth="1"/>
    <col min="12022" max="12022" width="18" style="108" customWidth="1"/>
    <col min="12023" max="12023" width="23.7109375" style="108" customWidth="1"/>
    <col min="12024" max="12024" width="26" style="108" customWidth="1"/>
    <col min="12025" max="12025" width="21.42578125" style="108" customWidth="1"/>
    <col min="12026" max="12026" width="20.85546875" style="108" customWidth="1"/>
    <col min="12027" max="12027" width="0" style="108" hidden="1" customWidth="1"/>
    <col min="12028" max="12275" width="9.140625" style="108"/>
    <col min="12276" max="12276" width="21.42578125" style="108" customWidth="1"/>
    <col min="12277" max="12277" width="16.42578125" style="108" customWidth="1"/>
    <col min="12278" max="12278" width="18" style="108" customWidth="1"/>
    <col min="12279" max="12279" width="23.7109375" style="108" customWidth="1"/>
    <col min="12280" max="12280" width="26" style="108" customWidth="1"/>
    <col min="12281" max="12281" width="21.42578125" style="108" customWidth="1"/>
    <col min="12282" max="12282" width="20.85546875" style="108" customWidth="1"/>
    <col min="12283" max="12283" width="0" style="108" hidden="1" customWidth="1"/>
    <col min="12284" max="12531" width="9.140625" style="108"/>
    <col min="12532" max="12532" width="21.42578125" style="108" customWidth="1"/>
    <col min="12533" max="12533" width="16.42578125" style="108" customWidth="1"/>
    <col min="12534" max="12534" width="18" style="108" customWidth="1"/>
    <col min="12535" max="12535" width="23.7109375" style="108" customWidth="1"/>
    <col min="12536" max="12536" width="26" style="108" customWidth="1"/>
    <col min="12537" max="12537" width="21.42578125" style="108" customWidth="1"/>
    <col min="12538" max="12538" width="20.85546875" style="108" customWidth="1"/>
    <col min="12539" max="12539" width="0" style="108" hidden="1" customWidth="1"/>
    <col min="12540" max="12787" width="9.140625" style="108"/>
    <col min="12788" max="12788" width="21.42578125" style="108" customWidth="1"/>
    <col min="12789" max="12789" width="16.42578125" style="108" customWidth="1"/>
    <col min="12790" max="12790" width="18" style="108" customWidth="1"/>
    <col min="12791" max="12791" width="23.7109375" style="108" customWidth="1"/>
    <col min="12792" max="12792" width="26" style="108" customWidth="1"/>
    <col min="12793" max="12793" width="21.42578125" style="108" customWidth="1"/>
    <col min="12794" max="12794" width="20.85546875" style="108" customWidth="1"/>
    <col min="12795" max="12795" width="0" style="108" hidden="1" customWidth="1"/>
    <col min="12796" max="13043" width="9.140625" style="108"/>
    <col min="13044" max="13044" width="21.42578125" style="108" customWidth="1"/>
    <col min="13045" max="13045" width="16.42578125" style="108" customWidth="1"/>
    <col min="13046" max="13046" width="18" style="108" customWidth="1"/>
    <col min="13047" max="13047" width="23.7109375" style="108" customWidth="1"/>
    <col min="13048" max="13048" width="26" style="108" customWidth="1"/>
    <col min="13049" max="13049" width="21.42578125" style="108" customWidth="1"/>
    <col min="13050" max="13050" width="20.85546875" style="108" customWidth="1"/>
    <col min="13051" max="13051" width="0" style="108" hidden="1" customWidth="1"/>
    <col min="13052" max="13299" width="9.140625" style="108"/>
    <col min="13300" max="13300" width="21.42578125" style="108" customWidth="1"/>
    <col min="13301" max="13301" width="16.42578125" style="108" customWidth="1"/>
    <col min="13302" max="13302" width="18" style="108" customWidth="1"/>
    <col min="13303" max="13303" width="23.7109375" style="108" customWidth="1"/>
    <col min="13304" max="13304" width="26" style="108" customWidth="1"/>
    <col min="13305" max="13305" width="21.42578125" style="108" customWidth="1"/>
    <col min="13306" max="13306" width="20.85546875" style="108" customWidth="1"/>
    <col min="13307" max="13307" width="0" style="108" hidden="1" customWidth="1"/>
    <col min="13308" max="13555" width="9.140625" style="108"/>
    <col min="13556" max="13556" width="21.42578125" style="108" customWidth="1"/>
    <col min="13557" max="13557" width="16.42578125" style="108" customWidth="1"/>
    <col min="13558" max="13558" width="18" style="108" customWidth="1"/>
    <col min="13559" max="13559" width="23.7109375" style="108" customWidth="1"/>
    <col min="13560" max="13560" width="26" style="108" customWidth="1"/>
    <col min="13561" max="13561" width="21.42578125" style="108" customWidth="1"/>
    <col min="13562" max="13562" width="20.85546875" style="108" customWidth="1"/>
    <col min="13563" max="13563" width="0" style="108" hidden="1" customWidth="1"/>
    <col min="13564" max="13811" width="9.140625" style="108"/>
    <col min="13812" max="13812" width="21.42578125" style="108" customWidth="1"/>
    <col min="13813" max="13813" width="16.42578125" style="108" customWidth="1"/>
    <col min="13814" max="13814" width="18" style="108" customWidth="1"/>
    <col min="13815" max="13815" width="23.7109375" style="108" customWidth="1"/>
    <col min="13816" max="13816" width="26" style="108" customWidth="1"/>
    <col min="13817" max="13817" width="21.42578125" style="108" customWidth="1"/>
    <col min="13818" max="13818" width="20.85546875" style="108" customWidth="1"/>
    <col min="13819" max="13819" width="0" style="108" hidden="1" customWidth="1"/>
    <col min="13820" max="14067" width="9.140625" style="108"/>
    <col min="14068" max="14068" width="21.42578125" style="108" customWidth="1"/>
    <col min="14069" max="14069" width="16.42578125" style="108" customWidth="1"/>
    <col min="14070" max="14070" width="18" style="108" customWidth="1"/>
    <col min="14071" max="14071" width="23.7109375" style="108" customWidth="1"/>
    <col min="14072" max="14072" width="26" style="108" customWidth="1"/>
    <col min="14073" max="14073" width="21.42578125" style="108" customWidth="1"/>
    <col min="14074" max="14074" width="20.85546875" style="108" customWidth="1"/>
    <col min="14075" max="14075" width="0" style="108" hidden="1" customWidth="1"/>
    <col min="14076" max="14323" width="9.140625" style="108"/>
    <col min="14324" max="14324" width="21.42578125" style="108" customWidth="1"/>
    <col min="14325" max="14325" width="16.42578125" style="108" customWidth="1"/>
    <col min="14326" max="14326" width="18" style="108" customWidth="1"/>
    <col min="14327" max="14327" width="23.7109375" style="108" customWidth="1"/>
    <col min="14328" max="14328" width="26" style="108" customWidth="1"/>
    <col min="14329" max="14329" width="21.42578125" style="108" customWidth="1"/>
    <col min="14330" max="14330" width="20.85546875" style="108" customWidth="1"/>
    <col min="14331" max="14331" width="0" style="108" hidden="1" customWidth="1"/>
    <col min="14332" max="14579" width="9.140625" style="108"/>
    <col min="14580" max="14580" width="21.42578125" style="108" customWidth="1"/>
    <col min="14581" max="14581" width="16.42578125" style="108" customWidth="1"/>
    <col min="14582" max="14582" width="18" style="108" customWidth="1"/>
    <col min="14583" max="14583" width="23.7109375" style="108" customWidth="1"/>
    <col min="14584" max="14584" width="26" style="108" customWidth="1"/>
    <col min="14585" max="14585" width="21.42578125" style="108" customWidth="1"/>
    <col min="14586" max="14586" width="20.85546875" style="108" customWidth="1"/>
    <col min="14587" max="14587" width="0" style="108" hidden="1" customWidth="1"/>
    <col min="14588" max="14835" width="9.140625" style="108"/>
    <col min="14836" max="14836" width="21.42578125" style="108" customWidth="1"/>
    <col min="14837" max="14837" width="16.42578125" style="108" customWidth="1"/>
    <col min="14838" max="14838" width="18" style="108" customWidth="1"/>
    <col min="14839" max="14839" width="23.7109375" style="108" customWidth="1"/>
    <col min="14840" max="14840" width="26" style="108" customWidth="1"/>
    <col min="14841" max="14841" width="21.42578125" style="108" customWidth="1"/>
    <col min="14842" max="14842" width="20.85546875" style="108" customWidth="1"/>
    <col min="14843" max="14843" width="0" style="108" hidden="1" customWidth="1"/>
    <col min="14844" max="15091" width="9.140625" style="108"/>
    <col min="15092" max="15092" width="21.42578125" style="108" customWidth="1"/>
    <col min="15093" max="15093" width="16.42578125" style="108" customWidth="1"/>
    <col min="15094" max="15094" width="18" style="108" customWidth="1"/>
    <col min="15095" max="15095" width="23.7109375" style="108" customWidth="1"/>
    <col min="15096" max="15096" width="26" style="108" customWidth="1"/>
    <col min="15097" max="15097" width="21.42578125" style="108" customWidth="1"/>
    <col min="15098" max="15098" width="20.85546875" style="108" customWidth="1"/>
    <col min="15099" max="15099" width="0" style="108" hidden="1" customWidth="1"/>
    <col min="15100" max="15347" width="9.140625" style="108"/>
    <col min="15348" max="15348" width="21.42578125" style="108" customWidth="1"/>
    <col min="15349" max="15349" width="16.42578125" style="108" customWidth="1"/>
    <col min="15350" max="15350" width="18" style="108" customWidth="1"/>
    <col min="15351" max="15351" width="23.7109375" style="108" customWidth="1"/>
    <col min="15352" max="15352" width="26" style="108" customWidth="1"/>
    <col min="15353" max="15353" width="21.42578125" style="108" customWidth="1"/>
    <col min="15354" max="15354" width="20.85546875" style="108" customWidth="1"/>
    <col min="15355" max="15355" width="0" style="108" hidden="1" customWidth="1"/>
    <col min="15356" max="15603" width="9.140625" style="108"/>
    <col min="15604" max="15604" width="21.42578125" style="108" customWidth="1"/>
    <col min="15605" max="15605" width="16.42578125" style="108" customWidth="1"/>
    <col min="15606" max="15606" width="18" style="108" customWidth="1"/>
    <col min="15607" max="15607" width="23.7109375" style="108" customWidth="1"/>
    <col min="15608" max="15608" width="26" style="108" customWidth="1"/>
    <col min="15609" max="15609" width="21.42578125" style="108" customWidth="1"/>
    <col min="15610" max="15610" width="20.85546875" style="108" customWidth="1"/>
    <col min="15611" max="15611" width="0" style="108" hidden="1" customWidth="1"/>
    <col min="15612" max="15859" width="9.140625" style="108"/>
    <col min="15860" max="15860" width="21.42578125" style="108" customWidth="1"/>
    <col min="15861" max="15861" width="16.42578125" style="108" customWidth="1"/>
    <col min="15862" max="15862" width="18" style="108" customWidth="1"/>
    <col min="15863" max="15863" width="23.7109375" style="108" customWidth="1"/>
    <col min="15864" max="15864" width="26" style="108" customWidth="1"/>
    <col min="15865" max="15865" width="21.42578125" style="108" customWidth="1"/>
    <col min="15866" max="15866" width="20.85546875" style="108" customWidth="1"/>
    <col min="15867" max="15867" width="0" style="108" hidden="1" customWidth="1"/>
    <col min="15868" max="16115" width="9.140625" style="108"/>
    <col min="16116" max="16116" width="21.42578125" style="108" customWidth="1"/>
    <col min="16117" max="16117" width="16.42578125" style="108" customWidth="1"/>
    <col min="16118" max="16118" width="18" style="108" customWidth="1"/>
    <col min="16119" max="16119" width="23.7109375" style="108" customWidth="1"/>
    <col min="16120" max="16120" width="26" style="108" customWidth="1"/>
    <col min="16121" max="16121" width="21.42578125" style="108" customWidth="1"/>
    <col min="16122" max="16122" width="20.85546875" style="108" customWidth="1"/>
    <col min="16123" max="16123" width="0" style="108" hidden="1" customWidth="1"/>
    <col min="16124" max="16384" width="9.140625" style="108"/>
  </cols>
  <sheetData>
    <row r="1" spans="2:15" ht="9" customHeight="1" x14ac:dyDescent="0.2"/>
    <row r="2" spans="2:15" ht="30" customHeight="1" x14ac:dyDescent="0.2">
      <c r="B2" s="140" t="s">
        <v>127</v>
      </c>
      <c r="C2" s="141"/>
      <c r="D2" s="141"/>
      <c r="E2" s="141"/>
      <c r="F2" s="141"/>
      <c r="G2" s="141"/>
      <c r="H2" s="141"/>
      <c r="I2" s="141"/>
      <c r="J2" s="142"/>
    </row>
    <row r="3" spans="2:15" ht="30" customHeight="1" x14ac:dyDescent="0.2">
      <c r="B3" s="1033" t="s">
        <v>118</v>
      </c>
      <c r="C3" s="1034"/>
      <c r="D3" s="1034"/>
      <c r="E3" s="1034"/>
      <c r="F3" s="1034"/>
      <c r="G3" s="1034"/>
      <c r="H3" s="1034"/>
      <c r="I3" s="1034"/>
      <c r="J3" s="1035"/>
    </row>
    <row r="4" spans="2:15" ht="15" customHeight="1" thickBot="1" x14ac:dyDescent="0.25">
      <c r="B4" s="203"/>
      <c r="C4" s="203"/>
      <c r="D4" s="203"/>
      <c r="E4" s="203"/>
      <c r="F4" s="203"/>
      <c r="G4" s="203"/>
      <c r="H4" s="203"/>
      <c r="I4" s="203"/>
      <c r="J4" s="203"/>
    </row>
    <row r="5" spans="2:15" ht="45" customHeight="1" thickBot="1" x14ac:dyDescent="0.25">
      <c r="B5" s="1036" t="s">
        <v>178</v>
      </c>
      <c r="C5" s="1037"/>
      <c r="D5" s="1038"/>
      <c r="E5" s="203"/>
      <c r="F5" s="1033" t="s">
        <v>116</v>
      </c>
      <c r="G5" s="1034"/>
      <c r="H5" s="1034"/>
      <c r="I5" s="1034"/>
      <c r="J5" s="1035"/>
    </row>
    <row r="6" spans="2:15" ht="15.75" thickBot="1" x14ac:dyDescent="0.3">
      <c r="B6" s="281" t="s">
        <v>27</v>
      </c>
      <c r="C6" s="282" t="s">
        <v>37</v>
      </c>
      <c r="D6" s="726" t="s">
        <v>36</v>
      </c>
      <c r="F6" s="694"/>
      <c r="G6" s="694"/>
      <c r="H6" s="694"/>
      <c r="I6" s="694"/>
      <c r="J6" s="694"/>
      <c r="K6" s="694"/>
      <c r="L6" s="694"/>
      <c r="M6" s="695" t="s">
        <v>117</v>
      </c>
      <c r="N6" s="695" t="s">
        <v>117</v>
      </c>
      <c r="O6" s="695" t="s">
        <v>117</v>
      </c>
    </row>
    <row r="7" spans="2:15" ht="15" x14ac:dyDescent="0.25">
      <c r="B7" s="289" t="s">
        <v>171</v>
      </c>
      <c r="C7" s="290"/>
      <c r="D7" s="727" t="str">
        <f>IF('Financial Inputs'!$P$25="Pass","Yes","No, see Detailed Inputs sheet")</f>
        <v>Yes</v>
      </c>
      <c r="F7" s="727"/>
      <c r="G7" s="727"/>
      <c r="H7" s="727"/>
      <c r="I7" s="727"/>
      <c r="J7" s="727"/>
      <c r="K7" s="727"/>
      <c r="L7" s="727"/>
      <c r="M7" s="696"/>
      <c r="N7" s="696"/>
      <c r="O7" s="696"/>
    </row>
    <row r="8" spans="2:15" ht="15.75" customHeight="1" x14ac:dyDescent="0.2">
      <c r="B8" s="275" t="s">
        <v>177</v>
      </c>
      <c r="C8" s="274"/>
      <c r="D8" s="728"/>
      <c r="F8" s="728"/>
      <c r="G8" s="728"/>
      <c r="H8" s="728"/>
      <c r="I8" s="728"/>
      <c r="J8" s="728"/>
      <c r="K8" s="728"/>
      <c r="L8" s="728"/>
      <c r="M8" s="697"/>
      <c r="N8" s="697"/>
      <c r="O8" s="697"/>
    </row>
    <row r="9" spans="2:15" s="124" customFormat="1" x14ac:dyDescent="0.2">
      <c r="C9" s="145"/>
      <c r="D9" s="698"/>
      <c r="F9" s="698"/>
      <c r="G9" s="698"/>
      <c r="H9" s="698"/>
      <c r="I9" s="698"/>
      <c r="J9" s="698"/>
      <c r="K9" s="698"/>
      <c r="L9" s="698"/>
      <c r="M9" s="698"/>
      <c r="N9" s="698"/>
      <c r="O9" s="698"/>
    </row>
    <row r="10" spans="2:15" s="124" customFormat="1" ht="15.75" customHeight="1" x14ac:dyDescent="0.25">
      <c r="B10" s="707" t="s">
        <v>26</v>
      </c>
      <c r="C10" s="215"/>
      <c r="D10" s="729"/>
      <c r="E10" s="108"/>
      <c r="F10" s="729"/>
      <c r="G10" s="729"/>
      <c r="H10" s="729"/>
      <c r="I10" s="729"/>
      <c r="J10" s="729"/>
      <c r="K10" s="729"/>
      <c r="L10" s="729"/>
      <c r="M10" s="699"/>
      <c r="N10" s="699"/>
      <c r="O10" s="699"/>
    </row>
    <row r="11" spans="2:15" ht="15" x14ac:dyDescent="0.25">
      <c r="B11" s="143" t="s">
        <v>120</v>
      </c>
      <c r="C11" s="144" t="s">
        <v>28</v>
      </c>
      <c r="D11" s="701">
        <f>'Financial Inputs'!G9</f>
        <v>20</v>
      </c>
      <c r="E11" s="146"/>
      <c r="F11" s="701"/>
      <c r="G11" s="701"/>
      <c r="H11" s="701"/>
      <c r="I11" s="701"/>
      <c r="J11" s="701"/>
      <c r="K11" s="701"/>
      <c r="L11" s="701"/>
      <c r="M11" s="700"/>
      <c r="N11" s="700"/>
      <c r="O11" s="700"/>
    </row>
    <row r="12" spans="2:15" ht="15" x14ac:dyDescent="0.25">
      <c r="B12" s="143"/>
      <c r="C12" s="144"/>
      <c r="D12" s="701"/>
      <c r="E12" s="109"/>
      <c r="F12" s="701"/>
      <c r="G12" s="701"/>
      <c r="H12" s="701"/>
      <c r="I12" s="701"/>
      <c r="J12" s="701"/>
      <c r="K12" s="701"/>
      <c r="L12" s="701"/>
      <c r="M12" s="701"/>
      <c r="N12" s="701"/>
      <c r="O12" s="701"/>
    </row>
    <row r="13" spans="2:15" ht="15" x14ac:dyDescent="0.25">
      <c r="B13" s="143" t="s">
        <v>203</v>
      </c>
      <c r="C13" s="144" t="s">
        <v>0</v>
      </c>
      <c r="D13" s="702">
        <f>'Financial Inputs'!$G37-'Financial Inputs'!$G$35</f>
        <v>10425</v>
      </c>
      <c r="E13" s="147"/>
      <c r="F13" s="702"/>
      <c r="G13" s="702"/>
      <c r="H13" s="702"/>
      <c r="I13" s="702"/>
      <c r="J13" s="702"/>
      <c r="K13" s="702"/>
      <c r="L13" s="702"/>
      <c r="M13" s="702"/>
      <c r="N13" s="702"/>
      <c r="O13" s="702"/>
    </row>
    <row r="14" spans="2:15" ht="15" x14ac:dyDescent="0.25">
      <c r="B14" s="143" t="s">
        <v>203</v>
      </c>
      <c r="C14" s="145" t="s">
        <v>183</v>
      </c>
      <c r="D14" s="702" t="e">
        <f>D13/#REF!</f>
        <v>#REF!</v>
      </c>
      <c r="E14" s="148"/>
      <c r="F14" s="702"/>
      <c r="G14" s="702"/>
      <c r="H14" s="702"/>
      <c r="I14" s="702"/>
      <c r="J14" s="702"/>
      <c r="K14" s="702"/>
      <c r="L14" s="702"/>
      <c r="M14" s="702"/>
      <c r="N14" s="702"/>
      <c r="O14" s="702"/>
    </row>
    <row r="15" spans="2:15" ht="15" x14ac:dyDescent="0.25">
      <c r="B15" s="143"/>
      <c r="C15" s="144"/>
      <c r="D15" s="702"/>
      <c r="E15" s="148"/>
      <c r="F15" s="702"/>
      <c r="G15" s="702"/>
      <c r="H15" s="702"/>
      <c r="I15" s="702"/>
      <c r="J15" s="702"/>
      <c r="K15" s="702"/>
      <c r="L15" s="702"/>
      <c r="M15" s="702"/>
      <c r="N15" s="702"/>
      <c r="O15" s="702"/>
    </row>
    <row r="16" spans="2:15" ht="15" x14ac:dyDescent="0.25">
      <c r="B16" s="143" t="s">
        <v>213</v>
      </c>
      <c r="C16" s="144"/>
      <c r="D16" s="702"/>
      <c r="E16" s="148"/>
      <c r="F16" s="702"/>
      <c r="G16" s="702"/>
      <c r="H16" s="702"/>
      <c r="I16" s="702"/>
      <c r="J16" s="702"/>
      <c r="K16" s="702"/>
      <c r="L16" s="702"/>
      <c r="M16" s="702"/>
      <c r="N16" s="702"/>
      <c r="O16" s="702"/>
    </row>
    <row r="17" spans="2:15" ht="15" x14ac:dyDescent="0.25">
      <c r="B17" s="143" t="str">
        <f>'Financial Inputs'!N142</f>
        <v>Payment from digester operator for manure</v>
      </c>
      <c r="C17" s="144" t="str">
        <f>'Financial Inputs'!O142</f>
        <v>$/year</v>
      </c>
      <c r="D17" s="721">
        <f>'Financial Inputs'!P142</f>
        <v>74800.362500000003</v>
      </c>
      <c r="E17" s="148"/>
      <c r="F17" s="721"/>
      <c r="G17" s="721"/>
      <c r="H17" s="721"/>
      <c r="I17" s="721"/>
      <c r="J17" s="721"/>
      <c r="K17" s="721"/>
      <c r="L17" s="721"/>
      <c r="M17" s="702"/>
      <c r="N17" s="702"/>
      <c r="O17" s="702"/>
    </row>
    <row r="18" spans="2:15" ht="15.75" x14ac:dyDescent="0.25">
      <c r="B18" s="26" t="s">
        <v>217</v>
      </c>
      <c r="C18" s="109" t="s">
        <v>216</v>
      </c>
      <c r="D18" s="730">
        <f>'Financial Inputs'!P144</f>
        <v>22562.149792143609</v>
      </c>
      <c r="E18" s="148"/>
      <c r="F18" s="730"/>
      <c r="G18" s="730"/>
      <c r="H18" s="730"/>
      <c r="I18" s="730"/>
      <c r="J18" s="730"/>
      <c r="K18" s="730"/>
      <c r="L18" s="730"/>
      <c r="M18" s="702"/>
      <c r="N18" s="702"/>
      <c r="O18" s="702"/>
    </row>
    <row r="19" spans="2:15" ht="15.75" x14ac:dyDescent="0.25">
      <c r="B19" s="706" t="s">
        <v>372</v>
      </c>
      <c r="C19" s="109" t="s">
        <v>436</v>
      </c>
      <c r="D19" s="730" t="e">
        <f>Switchgrass_Key_Inputs!#REF!</f>
        <v>#REF!</v>
      </c>
      <c r="E19" s="148"/>
      <c r="F19" s="730"/>
      <c r="G19" s="730"/>
      <c r="H19" s="730"/>
      <c r="I19" s="730"/>
      <c r="J19" s="730"/>
      <c r="K19" s="730"/>
      <c r="L19" s="730"/>
      <c r="M19" s="702"/>
      <c r="N19" s="702"/>
      <c r="O19" s="702"/>
    </row>
    <row r="20" spans="2:15" ht="15.75" x14ac:dyDescent="0.25">
      <c r="B20" s="706" t="s">
        <v>371</v>
      </c>
      <c r="C20" s="109" t="s">
        <v>216</v>
      </c>
      <c r="D20" s="730">
        <f>'Financial Inputs'!P146</f>
        <v>20000</v>
      </c>
      <c r="E20" s="148"/>
      <c r="F20" s="730"/>
      <c r="G20" s="730"/>
      <c r="H20" s="730"/>
      <c r="I20" s="730"/>
      <c r="J20" s="730"/>
      <c r="K20" s="730"/>
      <c r="L20" s="730"/>
      <c r="M20" s="702"/>
      <c r="N20" s="702"/>
      <c r="O20" s="702"/>
    </row>
    <row r="21" spans="2:15" ht="15.75" x14ac:dyDescent="0.25">
      <c r="B21" s="706" t="s">
        <v>597</v>
      </c>
      <c r="C21" s="109"/>
      <c r="D21" s="730" t="str">
        <f>'Key inputs &amp; Outputs'!F15</f>
        <v>No</v>
      </c>
      <c r="E21" s="148"/>
      <c r="F21" s="730"/>
      <c r="G21" s="730"/>
      <c r="H21" s="730"/>
      <c r="I21" s="730"/>
      <c r="J21" s="730"/>
      <c r="K21" s="730"/>
      <c r="L21" s="730"/>
      <c r="M21" s="702"/>
      <c r="N21" s="702"/>
      <c r="O21" s="702"/>
    </row>
    <row r="22" spans="2:15" ht="15" x14ac:dyDescent="0.25">
      <c r="B22" s="143"/>
      <c r="C22" s="144"/>
      <c r="D22" s="702"/>
      <c r="E22" s="148"/>
      <c r="F22" s="702"/>
      <c r="G22" s="702"/>
      <c r="H22" s="702"/>
      <c r="I22" s="702"/>
      <c r="J22" s="702"/>
      <c r="K22" s="702"/>
      <c r="L22" s="702"/>
      <c r="M22" s="702"/>
      <c r="N22" s="702"/>
      <c r="O22" s="702"/>
    </row>
    <row r="23" spans="2:15" ht="15" x14ac:dyDescent="0.25">
      <c r="B23" s="143" t="s">
        <v>204</v>
      </c>
      <c r="C23" s="144" t="s">
        <v>210</v>
      </c>
      <c r="D23" s="722">
        <f>'Detailed Cash Flow'!G21</f>
        <v>187.40332916019582</v>
      </c>
      <c r="E23" s="148"/>
      <c r="F23" s="722"/>
      <c r="G23" s="722"/>
      <c r="H23" s="722"/>
      <c r="I23" s="722"/>
      <c r="J23" s="722"/>
      <c r="K23" s="722"/>
      <c r="L23" s="722"/>
      <c r="M23" s="702"/>
      <c r="N23" s="702"/>
      <c r="O23" s="702"/>
    </row>
    <row r="24" spans="2:15" ht="15" x14ac:dyDescent="0.25">
      <c r="B24" s="143"/>
      <c r="C24" s="144"/>
      <c r="D24" s="701"/>
      <c r="E24" s="109"/>
      <c r="F24" s="701"/>
      <c r="G24" s="701"/>
      <c r="H24" s="701"/>
      <c r="I24" s="701"/>
      <c r="J24" s="701"/>
      <c r="K24" s="701"/>
      <c r="L24" s="701"/>
      <c r="M24" s="701"/>
      <c r="N24" s="701"/>
      <c r="O24" s="701"/>
    </row>
    <row r="25" spans="2:15" ht="15" x14ac:dyDescent="0.25">
      <c r="B25" s="143" t="s">
        <v>214</v>
      </c>
      <c r="C25" s="145" t="s">
        <v>1</v>
      </c>
      <c r="D25" s="703" t="e">
        <f>'Financial Inputs'!#REF!</f>
        <v>#REF!</v>
      </c>
      <c r="E25" s="149"/>
      <c r="F25" s="703"/>
      <c r="G25" s="703"/>
      <c r="H25" s="703"/>
      <c r="I25" s="703"/>
      <c r="J25" s="703"/>
      <c r="K25" s="703"/>
      <c r="L25" s="703"/>
      <c r="M25" s="703"/>
      <c r="N25" s="703"/>
      <c r="O25" s="703"/>
    </row>
    <row r="26" spans="2:15" ht="15" x14ac:dyDescent="0.25">
      <c r="B26" s="143" t="s">
        <v>149</v>
      </c>
      <c r="C26" s="144" t="s">
        <v>1</v>
      </c>
      <c r="D26" s="723">
        <f>'Financial Inputs'!$V191</f>
        <v>0.10000000000000007</v>
      </c>
      <c r="E26" s="149"/>
      <c r="F26" s="723"/>
      <c r="G26" s="723"/>
      <c r="H26" s="723"/>
      <c r="I26" s="723"/>
      <c r="J26" s="723"/>
      <c r="K26" s="723"/>
      <c r="L26" s="723"/>
      <c r="M26" s="703"/>
      <c r="N26" s="703"/>
      <c r="O26" s="703"/>
    </row>
    <row r="27" spans="2:15" ht="15" x14ac:dyDescent="0.25">
      <c r="B27" s="143" t="s">
        <v>137</v>
      </c>
      <c r="C27" s="145" t="s">
        <v>1</v>
      </c>
      <c r="D27" s="703">
        <f>'Financial Inputs'!$P82</f>
        <v>0.25</v>
      </c>
      <c r="E27" s="149"/>
      <c r="F27" s="703"/>
      <c r="G27" s="703"/>
      <c r="H27" s="703"/>
      <c r="I27" s="703"/>
      <c r="J27" s="703"/>
      <c r="K27" s="703"/>
      <c r="L27" s="703"/>
      <c r="M27" s="703"/>
      <c r="N27" s="703"/>
      <c r="O27" s="703"/>
    </row>
    <row r="28" spans="2:15" ht="15" x14ac:dyDescent="0.25">
      <c r="B28" s="143" t="s">
        <v>205</v>
      </c>
      <c r="C28" s="145" t="s">
        <v>28</v>
      </c>
      <c r="D28" s="701">
        <f>IF(D27&gt;0%,'Financial Inputs'!P83,"NA")</f>
        <v>10</v>
      </c>
      <c r="E28" s="149"/>
      <c r="F28" s="701"/>
      <c r="G28" s="701"/>
      <c r="H28" s="701"/>
      <c r="I28" s="701"/>
      <c r="J28" s="701"/>
      <c r="K28" s="701"/>
      <c r="L28" s="701"/>
      <c r="M28" s="703"/>
      <c r="N28" s="703"/>
      <c r="O28" s="703"/>
    </row>
    <row r="29" spans="2:15" ht="15" x14ac:dyDescent="0.25">
      <c r="B29" s="143" t="s">
        <v>119</v>
      </c>
      <c r="C29" s="145" t="s">
        <v>1</v>
      </c>
      <c r="D29" s="723">
        <f>IF(D27&gt;0%,'Financial Inputs'!$V189,"NA")</f>
        <v>8.0000000000000071E-2</v>
      </c>
      <c r="E29" s="149"/>
      <c r="F29" s="723"/>
      <c r="G29" s="723"/>
      <c r="H29" s="723"/>
      <c r="I29" s="723"/>
      <c r="J29" s="723"/>
      <c r="K29" s="723"/>
      <c r="L29" s="723"/>
      <c r="M29" s="703"/>
      <c r="N29" s="703"/>
      <c r="O29" s="703"/>
    </row>
    <row r="30" spans="2:15" ht="15" x14ac:dyDescent="0.25">
      <c r="B30" s="143" t="s">
        <v>10</v>
      </c>
      <c r="C30" s="109"/>
      <c r="D30" s="703" t="str">
        <f>'Financial Inputs'!$P$11</f>
        <v>Yes</v>
      </c>
      <c r="E30" s="149"/>
      <c r="F30" s="703"/>
      <c r="G30" s="703"/>
      <c r="H30" s="703"/>
      <c r="I30" s="703"/>
      <c r="J30" s="703"/>
      <c r="K30" s="703"/>
      <c r="L30" s="703"/>
      <c r="M30" s="703"/>
      <c r="N30" s="703"/>
      <c r="O30" s="703"/>
    </row>
    <row r="31" spans="2:15" ht="15" x14ac:dyDescent="0.25">
      <c r="B31" s="143" t="s">
        <v>206</v>
      </c>
      <c r="C31" s="109"/>
      <c r="D31" s="703" t="str">
        <f>IF($D$30="Yes",'Financial Inputs'!P13,"NA")</f>
        <v>As Generated</v>
      </c>
      <c r="E31" s="149"/>
      <c r="F31" s="703"/>
      <c r="G31" s="703"/>
      <c r="H31" s="703"/>
      <c r="I31" s="703"/>
      <c r="J31" s="703"/>
      <c r="K31" s="703"/>
      <c r="L31" s="703"/>
      <c r="M31" s="703"/>
      <c r="N31" s="703"/>
      <c r="O31" s="703"/>
    </row>
    <row r="32" spans="2:15" ht="15" x14ac:dyDescent="0.25">
      <c r="B32" s="143" t="s">
        <v>207</v>
      </c>
      <c r="C32" s="109"/>
      <c r="D32" s="703" t="str">
        <f>IF($D$30="Yes",'Financial Inputs'!P15,"NA")</f>
        <v>As Generated</v>
      </c>
      <c r="E32" s="149"/>
      <c r="F32" s="703"/>
      <c r="G32" s="703"/>
      <c r="H32" s="703"/>
      <c r="I32" s="703"/>
      <c r="J32" s="703"/>
      <c r="K32" s="703"/>
      <c r="L32" s="703"/>
      <c r="M32" s="703"/>
      <c r="N32" s="703"/>
      <c r="O32" s="703"/>
    </row>
    <row r="33" spans="2:15" ht="15" x14ac:dyDescent="0.25">
      <c r="B33" s="357"/>
      <c r="C33" s="109"/>
      <c r="D33" s="703"/>
      <c r="E33" s="149"/>
      <c r="F33" s="703"/>
      <c r="G33" s="703"/>
      <c r="H33" s="703"/>
      <c r="I33" s="703"/>
      <c r="J33" s="703"/>
      <c r="K33" s="703"/>
      <c r="L33" s="703"/>
      <c r="M33" s="703"/>
      <c r="N33" s="703"/>
      <c r="O33" s="703"/>
    </row>
    <row r="34" spans="2:15" ht="15" x14ac:dyDescent="0.25">
      <c r="B34" s="143" t="s">
        <v>172</v>
      </c>
      <c r="C34" s="144"/>
      <c r="D34" s="702" t="e">
        <f>'Financial Inputs'!#REF!</f>
        <v>#REF!</v>
      </c>
      <c r="E34" s="149"/>
      <c r="F34" s="702"/>
      <c r="G34" s="702"/>
      <c r="H34" s="702"/>
      <c r="I34" s="702"/>
      <c r="J34" s="702"/>
      <c r="K34" s="702"/>
      <c r="L34" s="702"/>
      <c r="M34" s="703"/>
      <c r="N34" s="703"/>
      <c r="O34" s="703"/>
    </row>
    <row r="35" spans="2:15" ht="15" x14ac:dyDescent="0.25">
      <c r="B35" s="143"/>
      <c r="C35" s="144"/>
      <c r="D35" s="702"/>
      <c r="E35" s="149"/>
      <c r="F35" s="702"/>
      <c r="G35" s="702"/>
      <c r="H35" s="702"/>
      <c r="I35" s="702"/>
      <c r="J35" s="702"/>
      <c r="K35" s="702"/>
      <c r="L35" s="702"/>
      <c r="M35" s="703"/>
      <c r="N35" s="703"/>
      <c r="O35" s="703"/>
    </row>
    <row r="36" spans="2:15" ht="15" x14ac:dyDescent="0.25">
      <c r="B36" s="143" t="s">
        <v>109</v>
      </c>
      <c r="D36" s="701" t="e">
        <f>IF(AND('Financial Inputs'!#REF!=0,'Financial Inputs'!#REF!=0),"No","Yes")</f>
        <v>#REF!</v>
      </c>
      <c r="E36" s="149"/>
      <c r="F36" s="701"/>
      <c r="G36" s="701"/>
      <c r="H36" s="701"/>
      <c r="I36" s="701"/>
      <c r="J36" s="701"/>
      <c r="K36" s="701"/>
      <c r="L36" s="701"/>
      <c r="M36" s="703"/>
      <c r="N36" s="703"/>
      <c r="O36" s="703"/>
    </row>
    <row r="37" spans="2:15" ht="15" x14ac:dyDescent="0.25">
      <c r="B37" s="213" t="s">
        <v>208</v>
      </c>
      <c r="C37" s="144" t="s">
        <v>0</v>
      </c>
      <c r="D37" s="702" t="e">
        <f>IF(D36="No","NA",'Financial Inputs'!$G$35)</f>
        <v>#REF!</v>
      </c>
      <c r="E37" s="149"/>
      <c r="F37" s="702"/>
      <c r="G37" s="702"/>
      <c r="H37" s="702"/>
      <c r="I37" s="702"/>
      <c r="J37" s="702"/>
      <c r="K37" s="702"/>
      <c r="L37" s="702"/>
      <c r="M37" s="703"/>
      <c r="N37" s="703"/>
      <c r="O37" s="703"/>
    </row>
    <row r="38" spans="2:15" ht="15" x14ac:dyDescent="0.25">
      <c r="B38" s="213"/>
      <c r="C38" s="144"/>
      <c r="D38" s="702"/>
      <c r="E38" s="149"/>
      <c r="F38" s="702"/>
      <c r="G38" s="702"/>
      <c r="H38" s="702"/>
      <c r="I38" s="702"/>
      <c r="J38" s="702"/>
      <c r="K38" s="702"/>
      <c r="L38" s="702"/>
      <c r="M38" s="703"/>
      <c r="N38" s="703"/>
      <c r="O38" s="703"/>
    </row>
    <row r="39" spans="2:15" ht="15" x14ac:dyDescent="0.25">
      <c r="B39" s="358" t="s">
        <v>209</v>
      </c>
      <c r="C39" s="127"/>
      <c r="D39" s="704" t="str">
        <f>IF('Financial Inputs'!$P$11="No","NA",'Financial Inputs'!O20)</f>
        <v>No</v>
      </c>
      <c r="F39" s="704"/>
      <c r="G39" s="704"/>
      <c r="H39" s="704"/>
      <c r="I39" s="704"/>
      <c r="J39" s="704"/>
      <c r="K39" s="704"/>
      <c r="L39" s="704"/>
      <c r="M39" s="704"/>
      <c r="N39" s="704"/>
      <c r="O39" s="704"/>
    </row>
    <row r="40" spans="2:15" ht="15" x14ac:dyDescent="0.25">
      <c r="B40" s="358"/>
      <c r="C40" s="127"/>
      <c r="D40" s="704"/>
      <c r="F40" s="704"/>
      <c r="G40" s="704"/>
      <c r="H40" s="704"/>
      <c r="I40" s="704"/>
      <c r="J40" s="704"/>
      <c r="K40" s="704"/>
      <c r="L40" s="704"/>
      <c r="M40" s="704"/>
      <c r="N40" s="704"/>
      <c r="O40" s="704"/>
    </row>
    <row r="41" spans="2:15" ht="18" customHeight="1" x14ac:dyDescent="0.25">
      <c r="B41" s="358" t="s">
        <v>200</v>
      </c>
      <c r="C41" s="127"/>
      <c r="D41" s="732" t="e">
        <f>'Financial Inputs'!#REF!</f>
        <v>#REF!</v>
      </c>
      <c r="F41" s="732"/>
      <c r="G41" s="732"/>
      <c r="H41" s="732"/>
      <c r="I41" s="732"/>
      <c r="J41" s="732"/>
      <c r="K41" s="732"/>
      <c r="L41" s="732"/>
      <c r="M41" s="704"/>
      <c r="N41" s="704"/>
      <c r="O41" s="704"/>
    </row>
    <row r="42" spans="2:15" ht="18" customHeight="1" x14ac:dyDescent="0.25">
      <c r="B42" s="358" t="s">
        <v>201</v>
      </c>
      <c r="C42" s="127"/>
      <c r="D42" s="732">
        <f>'Financial Inputs'!X128</f>
        <v>76614.011202316717</v>
      </c>
      <c r="F42" s="732"/>
      <c r="G42" s="732"/>
      <c r="H42" s="732"/>
      <c r="I42" s="732"/>
      <c r="J42" s="732"/>
      <c r="K42" s="732"/>
      <c r="L42" s="732"/>
      <c r="M42" s="704"/>
      <c r="N42" s="704"/>
      <c r="O42" s="704"/>
    </row>
    <row r="43" spans="2:15" ht="18" customHeight="1" x14ac:dyDescent="0.25">
      <c r="B43" s="358" t="str">
        <f>"Net present value @ "&amp;'Financial Inputs'!V191*100&amp;"% (over defined useful life)"</f>
        <v>Net present value @ 10% (over defined useful life)</v>
      </c>
      <c r="C43" s="127"/>
      <c r="D43" s="733">
        <f>'Financial Inputs'!X129</f>
        <v>652258.26619721949</v>
      </c>
      <c r="F43" s="733"/>
      <c r="G43" s="733"/>
      <c r="H43" s="733"/>
      <c r="I43" s="733"/>
      <c r="J43" s="733"/>
      <c r="K43" s="733"/>
      <c r="L43" s="733"/>
      <c r="M43" s="704"/>
      <c r="N43" s="704"/>
      <c r="O43" s="704"/>
    </row>
    <row r="44" spans="2:15" ht="18" customHeight="1" x14ac:dyDescent="0.25">
      <c r="B44" s="358" t="str">
        <f>"Annualized net present value @ "&amp;'Financial Inputs'!V191*100&amp;"% (over defined useful life)"</f>
        <v>Annualized net present value @ 10% (over defined useful life)</v>
      </c>
      <c r="C44" s="127"/>
      <c r="D44" s="733" t="e">
        <f>'Financial Inputs'!#REF!</f>
        <v>#REF!</v>
      </c>
      <c r="F44" s="733"/>
      <c r="G44" s="733"/>
      <c r="H44" s="733"/>
      <c r="I44" s="733"/>
      <c r="J44" s="733"/>
      <c r="K44" s="733"/>
      <c r="L44" s="733"/>
      <c r="M44" s="704"/>
      <c r="N44" s="704"/>
      <c r="O44" s="704"/>
    </row>
    <row r="45" spans="2:15" ht="18" customHeight="1" x14ac:dyDescent="0.25">
      <c r="B45" s="358" t="str">
        <f>'Financial Inputs'!N142</f>
        <v>Payment from digester operator for manure</v>
      </c>
      <c r="C45" s="127"/>
      <c r="D45" s="733">
        <f>'Financial Inputs'!P142</f>
        <v>74800.362500000003</v>
      </c>
      <c r="F45" s="733"/>
      <c r="G45" s="733"/>
      <c r="H45" s="733"/>
      <c r="I45" s="733"/>
      <c r="J45" s="733"/>
      <c r="K45" s="733"/>
      <c r="L45" s="733"/>
      <c r="M45" s="704"/>
      <c r="N45" s="704"/>
      <c r="O45" s="704"/>
    </row>
    <row r="46" spans="2:15" ht="18" customHeight="1" x14ac:dyDescent="0.25">
      <c r="B46" s="358" t="str">
        <f>'Detailed Cash Flow'!B57</f>
        <v>Nutrient value</v>
      </c>
      <c r="C46" s="127"/>
      <c r="D46" s="733">
        <f>'Financial Inputs'!P144</f>
        <v>22562.149792143609</v>
      </c>
      <c r="F46" s="733"/>
      <c r="G46" s="733"/>
      <c r="H46" s="733"/>
      <c r="I46" s="733"/>
      <c r="J46" s="733"/>
      <c r="K46" s="733"/>
      <c r="L46" s="733"/>
      <c r="M46" s="704"/>
      <c r="N46" s="704"/>
      <c r="O46" s="704"/>
    </row>
    <row r="47" spans="2:15" ht="18" customHeight="1" x14ac:dyDescent="0.25">
      <c r="B47" s="358" t="s">
        <v>431</v>
      </c>
      <c r="C47" s="127"/>
      <c r="D47" s="733">
        <f>'Financial Inputs'!P146</f>
        <v>20000</v>
      </c>
      <c r="F47" s="733"/>
      <c r="G47" s="733"/>
      <c r="H47" s="733"/>
      <c r="I47" s="733"/>
      <c r="J47" s="733"/>
      <c r="K47" s="733"/>
      <c r="L47" s="733"/>
      <c r="M47" s="704"/>
      <c r="N47" s="704"/>
      <c r="O47" s="704"/>
    </row>
    <row r="48" spans="2:15" ht="18" customHeight="1" x14ac:dyDescent="0.25">
      <c r="B48" s="358" t="e">
        <f>'Financial Inputs'!#REF!</f>
        <v>#REF!</v>
      </c>
      <c r="C48" s="127"/>
      <c r="D48" s="733" t="e">
        <f>'Financial Inputs'!#REF!</f>
        <v>#REF!</v>
      </c>
      <c r="F48" s="733"/>
      <c r="G48" s="733"/>
      <c r="H48" s="733"/>
      <c r="I48" s="733"/>
      <c r="J48" s="733"/>
      <c r="K48" s="733"/>
      <c r="L48" s="733"/>
      <c r="M48" s="704"/>
      <c r="N48" s="704"/>
      <c r="O48" s="704"/>
    </row>
    <row r="49" spans="2:15" ht="18" customHeight="1" x14ac:dyDescent="0.25">
      <c r="B49" s="358" t="str">
        <f>'Financial Inputs'!T130</f>
        <v>O&amp;M</v>
      </c>
      <c r="C49" s="127"/>
      <c r="D49" s="733">
        <f>'Financial Inputs'!X130</f>
        <v>90.909090909090978</v>
      </c>
      <c r="F49" s="733"/>
      <c r="G49" s="733"/>
      <c r="H49" s="733"/>
      <c r="I49" s="733"/>
      <c r="J49" s="733"/>
      <c r="K49" s="733"/>
      <c r="L49" s="733"/>
      <c r="M49" s="704"/>
      <c r="N49" s="704"/>
      <c r="O49" s="704"/>
    </row>
    <row r="50" spans="2:15" ht="18" customHeight="1" x14ac:dyDescent="0.25">
      <c r="B50" s="358" t="e">
        <f>'Financial Inputs'!#REF!</f>
        <v>#REF!</v>
      </c>
      <c r="C50" s="127"/>
      <c r="D50" s="733" t="e">
        <f>'Financial Inputs'!#REF!</f>
        <v>#REF!</v>
      </c>
      <c r="F50" s="733"/>
      <c r="G50" s="733"/>
      <c r="H50" s="733"/>
      <c r="I50" s="733"/>
      <c r="J50" s="733"/>
      <c r="K50" s="733"/>
      <c r="L50" s="733"/>
      <c r="M50" s="704"/>
      <c r="N50" s="704"/>
      <c r="O50" s="704"/>
    </row>
    <row r="51" spans="2:15" ht="150.75" customHeight="1" x14ac:dyDescent="0.2">
      <c r="B51" s="268" t="s">
        <v>202</v>
      </c>
      <c r="C51" s="269"/>
      <c r="D51" s="705"/>
      <c r="F51" s="705"/>
      <c r="G51" s="705"/>
      <c r="H51" s="214"/>
      <c r="I51" s="705"/>
      <c r="J51" s="705"/>
      <c r="K51" s="705"/>
      <c r="L51" s="705"/>
      <c r="M51" s="705"/>
      <c r="N51" s="705"/>
      <c r="O51" s="705"/>
    </row>
    <row r="52" spans="2:15" ht="30" customHeight="1" x14ac:dyDescent="0.2">
      <c r="B52" s="151"/>
      <c r="C52" s="151"/>
      <c r="D52" s="151"/>
      <c r="E52" s="151"/>
      <c r="F52" s="151"/>
      <c r="G52" s="151"/>
      <c r="H52" s="151"/>
      <c r="I52" s="151"/>
      <c r="J52" s="151"/>
    </row>
    <row r="53" spans="2:15" ht="18" x14ac:dyDescent="0.25">
      <c r="B53" s="1040"/>
      <c r="C53" s="1040"/>
      <c r="D53" s="1041"/>
      <c r="E53" s="1041"/>
      <c r="F53" s="459"/>
      <c r="G53" s="151"/>
      <c r="H53" s="151"/>
      <c r="I53" s="151"/>
      <c r="J53" s="151"/>
    </row>
    <row r="54" spans="2:15" ht="15" x14ac:dyDescent="0.2">
      <c r="E54" s="460"/>
      <c r="F54" s="460"/>
      <c r="G54" s="109"/>
      <c r="H54" s="109"/>
      <c r="I54" s="109"/>
    </row>
    <row r="55" spans="2:15" ht="15" x14ac:dyDescent="0.25">
      <c r="E55" s="1039"/>
      <c r="F55" s="1039"/>
      <c r="G55" s="150"/>
      <c r="H55" s="150"/>
      <c r="I55" s="150"/>
      <c r="J55" s="150"/>
    </row>
    <row r="56" spans="2:15" ht="15" x14ac:dyDescent="0.2">
      <c r="E56" s="1039"/>
      <c r="F56" s="1039"/>
    </row>
    <row r="57" spans="2:15" ht="15" x14ac:dyDescent="0.2">
      <c r="E57" s="1039"/>
      <c r="F57" s="1039"/>
    </row>
    <row r="58" spans="2:15" ht="15" x14ac:dyDescent="0.2">
      <c r="E58" s="1039"/>
      <c r="F58" s="1039"/>
    </row>
    <row r="59" spans="2:15" ht="15" x14ac:dyDescent="0.2">
      <c r="E59" s="1039"/>
      <c r="F59" s="1039"/>
    </row>
    <row r="60" spans="2:15" ht="15" x14ac:dyDescent="0.2">
      <c r="E60" s="1039"/>
      <c r="F60" s="1039"/>
    </row>
    <row r="61" spans="2:15" ht="15" x14ac:dyDescent="0.2">
      <c r="E61" s="1039"/>
      <c r="F61" s="1039"/>
    </row>
    <row r="62" spans="2:15" ht="15" x14ac:dyDescent="0.2">
      <c r="E62" s="1039"/>
      <c r="F62" s="1039"/>
    </row>
    <row r="63" spans="2:15" ht="15" x14ac:dyDescent="0.2">
      <c r="E63" s="1039"/>
      <c r="F63" s="1039"/>
    </row>
    <row r="64" spans="2:15" ht="15.75" customHeight="1" x14ac:dyDescent="0.2"/>
  </sheetData>
  <sheetProtection sheet="1" objects="1" scenarios="1"/>
  <protectedRanges>
    <protectedRange sqref="K6:O6" name="Scenario Names"/>
    <protectedRange sqref="D51 F51:O51 M7:O50" name="InputsOutputs"/>
  </protectedRanges>
  <mergeCells count="14">
    <mergeCell ref="E63:F63"/>
    <mergeCell ref="E60:F60"/>
    <mergeCell ref="E61:F61"/>
    <mergeCell ref="E62:F62"/>
    <mergeCell ref="E58:F58"/>
    <mergeCell ref="E59:F59"/>
    <mergeCell ref="B3:J3"/>
    <mergeCell ref="F5:J5"/>
    <mergeCell ref="B5:D5"/>
    <mergeCell ref="E57:F57"/>
    <mergeCell ref="B53:C53"/>
    <mergeCell ref="D53:E53"/>
    <mergeCell ref="E55:F55"/>
    <mergeCell ref="E56:F56"/>
  </mergeCells>
  <conditionalFormatting sqref="B7:C7">
    <cfRule type="expression" dxfId="4" priority="39">
      <formula>$D$7="Yes"</formula>
    </cfRule>
  </conditionalFormatting>
  <conditionalFormatting sqref="D7">
    <cfRule type="expression" dxfId="3" priority="42">
      <formula>D7="Yes"</formula>
    </cfRule>
  </conditionalFormatting>
  <conditionalFormatting sqref="F7:L7">
    <cfRule type="expression" dxfId="2" priority="1">
      <formula>F7="Yes"</formula>
    </cfRule>
  </conditionalFormatting>
  <pageMargins left="0.7" right="0.7" top="0.75" bottom="0.75" header="0.3" footer="0.3"/>
  <pageSetup orientation="portrait" horizontalDpi="4294967293" verticalDpi="0"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82477-2E5E-420C-8A27-AFEBD23F4412}">
  <sheetPr codeName="Sheet3"/>
  <dimension ref="A70"/>
  <sheetViews>
    <sheetView workbookViewId="0"/>
  </sheetViews>
  <sheetFormatPr defaultColWidth="9.140625" defaultRowHeight="15" x14ac:dyDescent="0.25"/>
  <cols>
    <col min="1" max="16384" width="9.140625" style="428"/>
  </cols>
  <sheetData>
    <row r="70" spans="1:1" x14ac:dyDescent="0.25">
      <c r="A70" s="428" t="s">
        <v>719</v>
      </c>
    </row>
  </sheetData>
  <sheetProtection sheet="1" objects="1" scenarios="1"/>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1"/>
  <dimension ref="B1:Q42"/>
  <sheetViews>
    <sheetView workbookViewId="0"/>
  </sheetViews>
  <sheetFormatPr defaultColWidth="8.85546875" defaultRowHeight="14.25" x14ac:dyDescent="0.2"/>
  <cols>
    <col min="1" max="1" width="2.42578125" style="108" customWidth="1"/>
    <col min="2" max="2" width="9.7109375" style="108" customWidth="1"/>
    <col min="3" max="3" width="12.85546875" style="108" customWidth="1"/>
    <col min="4" max="4" width="13.7109375" style="108" customWidth="1"/>
    <col min="5" max="5" width="14.7109375" style="108" customWidth="1"/>
    <col min="6" max="6" width="12.42578125" style="108" customWidth="1"/>
    <col min="7" max="8" width="15.140625" style="108" bestFit="1" customWidth="1"/>
    <col min="9" max="9" width="15.85546875" style="108" customWidth="1"/>
    <col min="10" max="10" width="14.42578125" style="108" customWidth="1"/>
    <col min="11" max="11" width="15.7109375" style="108" customWidth="1"/>
    <col min="12" max="12" width="16.42578125" style="108" customWidth="1"/>
    <col min="13" max="13" width="11.42578125" style="108" customWidth="1"/>
    <col min="14" max="14" width="11.140625" style="108" customWidth="1"/>
    <col min="15" max="15" width="9.140625" style="108"/>
    <col min="16" max="16" width="24.85546875" style="108" bestFit="1" customWidth="1"/>
    <col min="17" max="17" width="29.28515625" style="108" bestFit="1" customWidth="1"/>
    <col min="18" max="233" width="9.140625" style="108"/>
    <col min="234" max="234" width="21.42578125" style="108" customWidth="1"/>
    <col min="235" max="235" width="16.42578125" style="108" customWidth="1"/>
    <col min="236" max="236" width="18" style="108" customWidth="1"/>
    <col min="237" max="237" width="23.7109375" style="108" customWidth="1"/>
    <col min="238" max="238" width="26" style="108" customWidth="1"/>
    <col min="239" max="239" width="21.42578125" style="108" customWidth="1"/>
    <col min="240" max="240" width="20.85546875" style="108" customWidth="1"/>
    <col min="241" max="241" width="0" style="108" hidden="1" customWidth="1"/>
    <col min="242" max="489" width="9.140625" style="108"/>
    <col min="490" max="490" width="21.42578125" style="108" customWidth="1"/>
    <col min="491" max="491" width="16.42578125" style="108" customWidth="1"/>
    <col min="492" max="492" width="18" style="108" customWidth="1"/>
    <col min="493" max="493" width="23.7109375" style="108" customWidth="1"/>
    <col min="494" max="494" width="26" style="108" customWidth="1"/>
    <col min="495" max="495" width="21.42578125" style="108" customWidth="1"/>
    <col min="496" max="496" width="20.85546875" style="108" customWidth="1"/>
    <col min="497" max="497" width="0" style="108" hidden="1" customWidth="1"/>
    <col min="498" max="745" width="9.140625" style="108"/>
    <col min="746" max="746" width="21.42578125" style="108" customWidth="1"/>
    <col min="747" max="747" width="16.42578125" style="108" customWidth="1"/>
    <col min="748" max="748" width="18" style="108" customWidth="1"/>
    <col min="749" max="749" width="23.7109375" style="108" customWidth="1"/>
    <col min="750" max="750" width="26" style="108" customWidth="1"/>
    <col min="751" max="751" width="21.42578125" style="108" customWidth="1"/>
    <col min="752" max="752" width="20.85546875" style="108" customWidth="1"/>
    <col min="753" max="753" width="0" style="108" hidden="1" customWidth="1"/>
    <col min="754" max="1001" width="9.140625" style="108"/>
    <col min="1002" max="1002" width="21.42578125" style="108" customWidth="1"/>
    <col min="1003" max="1003" width="16.42578125" style="108" customWidth="1"/>
    <col min="1004" max="1004" width="18" style="108" customWidth="1"/>
    <col min="1005" max="1005" width="23.7109375" style="108" customWidth="1"/>
    <col min="1006" max="1006" width="26" style="108" customWidth="1"/>
    <col min="1007" max="1007" width="21.42578125" style="108" customWidth="1"/>
    <col min="1008" max="1008" width="20.85546875" style="108" customWidth="1"/>
    <col min="1009" max="1009" width="0" style="108" hidden="1" customWidth="1"/>
    <col min="1010" max="1257" width="9.140625" style="108"/>
    <col min="1258" max="1258" width="21.42578125" style="108" customWidth="1"/>
    <col min="1259" max="1259" width="16.42578125" style="108" customWidth="1"/>
    <col min="1260" max="1260" width="18" style="108" customWidth="1"/>
    <col min="1261" max="1261" width="23.7109375" style="108" customWidth="1"/>
    <col min="1262" max="1262" width="26" style="108" customWidth="1"/>
    <col min="1263" max="1263" width="21.42578125" style="108" customWidth="1"/>
    <col min="1264" max="1264" width="20.85546875" style="108" customWidth="1"/>
    <col min="1265" max="1265" width="0" style="108" hidden="1" customWidth="1"/>
    <col min="1266" max="1513" width="9.140625" style="108"/>
    <col min="1514" max="1514" width="21.42578125" style="108" customWidth="1"/>
    <col min="1515" max="1515" width="16.42578125" style="108" customWidth="1"/>
    <col min="1516" max="1516" width="18" style="108" customWidth="1"/>
    <col min="1517" max="1517" width="23.7109375" style="108" customWidth="1"/>
    <col min="1518" max="1518" width="26" style="108" customWidth="1"/>
    <col min="1519" max="1519" width="21.42578125" style="108" customWidth="1"/>
    <col min="1520" max="1520" width="20.85546875" style="108" customWidth="1"/>
    <col min="1521" max="1521" width="0" style="108" hidden="1" customWidth="1"/>
    <col min="1522" max="1769" width="9.140625" style="108"/>
    <col min="1770" max="1770" width="21.42578125" style="108" customWidth="1"/>
    <col min="1771" max="1771" width="16.42578125" style="108" customWidth="1"/>
    <col min="1772" max="1772" width="18" style="108" customWidth="1"/>
    <col min="1773" max="1773" width="23.7109375" style="108" customWidth="1"/>
    <col min="1774" max="1774" width="26" style="108" customWidth="1"/>
    <col min="1775" max="1775" width="21.42578125" style="108" customWidth="1"/>
    <col min="1776" max="1776" width="20.85546875" style="108" customWidth="1"/>
    <col min="1777" max="1777" width="0" style="108" hidden="1" customWidth="1"/>
    <col min="1778" max="2025" width="9.140625" style="108"/>
    <col min="2026" max="2026" width="21.42578125" style="108" customWidth="1"/>
    <col min="2027" max="2027" width="16.42578125" style="108" customWidth="1"/>
    <col min="2028" max="2028" width="18" style="108" customWidth="1"/>
    <col min="2029" max="2029" width="23.7109375" style="108" customWidth="1"/>
    <col min="2030" max="2030" width="26" style="108" customWidth="1"/>
    <col min="2031" max="2031" width="21.42578125" style="108" customWidth="1"/>
    <col min="2032" max="2032" width="20.85546875" style="108" customWidth="1"/>
    <col min="2033" max="2033" width="0" style="108" hidden="1" customWidth="1"/>
    <col min="2034" max="2281" width="9.140625" style="108"/>
    <col min="2282" max="2282" width="21.42578125" style="108" customWidth="1"/>
    <col min="2283" max="2283" width="16.42578125" style="108" customWidth="1"/>
    <col min="2284" max="2284" width="18" style="108" customWidth="1"/>
    <col min="2285" max="2285" width="23.7109375" style="108" customWidth="1"/>
    <col min="2286" max="2286" width="26" style="108" customWidth="1"/>
    <col min="2287" max="2287" width="21.42578125" style="108" customWidth="1"/>
    <col min="2288" max="2288" width="20.85546875" style="108" customWidth="1"/>
    <col min="2289" max="2289" width="0" style="108" hidden="1" customWidth="1"/>
    <col min="2290" max="2537" width="9.140625" style="108"/>
    <col min="2538" max="2538" width="21.42578125" style="108" customWidth="1"/>
    <col min="2539" max="2539" width="16.42578125" style="108" customWidth="1"/>
    <col min="2540" max="2540" width="18" style="108" customWidth="1"/>
    <col min="2541" max="2541" width="23.7109375" style="108" customWidth="1"/>
    <col min="2542" max="2542" width="26" style="108" customWidth="1"/>
    <col min="2543" max="2543" width="21.42578125" style="108" customWidth="1"/>
    <col min="2544" max="2544" width="20.85546875" style="108" customWidth="1"/>
    <col min="2545" max="2545" width="0" style="108" hidden="1" customWidth="1"/>
    <col min="2546" max="2793" width="9.140625" style="108"/>
    <col min="2794" max="2794" width="21.42578125" style="108" customWidth="1"/>
    <col min="2795" max="2795" width="16.42578125" style="108" customWidth="1"/>
    <col min="2796" max="2796" width="18" style="108" customWidth="1"/>
    <col min="2797" max="2797" width="23.7109375" style="108" customWidth="1"/>
    <col min="2798" max="2798" width="26" style="108" customWidth="1"/>
    <col min="2799" max="2799" width="21.42578125" style="108" customWidth="1"/>
    <col min="2800" max="2800" width="20.85546875" style="108" customWidth="1"/>
    <col min="2801" max="2801" width="0" style="108" hidden="1" customWidth="1"/>
    <col min="2802" max="3049" width="9.140625" style="108"/>
    <col min="3050" max="3050" width="21.42578125" style="108" customWidth="1"/>
    <col min="3051" max="3051" width="16.42578125" style="108" customWidth="1"/>
    <col min="3052" max="3052" width="18" style="108" customWidth="1"/>
    <col min="3053" max="3053" width="23.7109375" style="108" customWidth="1"/>
    <col min="3054" max="3054" width="26" style="108" customWidth="1"/>
    <col min="3055" max="3055" width="21.42578125" style="108" customWidth="1"/>
    <col min="3056" max="3056" width="20.85546875" style="108" customWidth="1"/>
    <col min="3057" max="3057" width="0" style="108" hidden="1" customWidth="1"/>
    <col min="3058" max="3305" width="9.140625" style="108"/>
    <col min="3306" max="3306" width="21.42578125" style="108" customWidth="1"/>
    <col min="3307" max="3307" width="16.42578125" style="108" customWidth="1"/>
    <col min="3308" max="3308" width="18" style="108" customWidth="1"/>
    <col min="3309" max="3309" width="23.7109375" style="108" customWidth="1"/>
    <col min="3310" max="3310" width="26" style="108" customWidth="1"/>
    <col min="3311" max="3311" width="21.42578125" style="108" customWidth="1"/>
    <col min="3312" max="3312" width="20.85546875" style="108" customWidth="1"/>
    <col min="3313" max="3313" width="0" style="108" hidden="1" customWidth="1"/>
    <col min="3314" max="3561" width="9.140625" style="108"/>
    <col min="3562" max="3562" width="21.42578125" style="108" customWidth="1"/>
    <col min="3563" max="3563" width="16.42578125" style="108" customWidth="1"/>
    <col min="3564" max="3564" width="18" style="108" customWidth="1"/>
    <col min="3565" max="3565" width="23.7109375" style="108" customWidth="1"/>
    <col min="3566" max="3566" width="26" style="108" customWidth="1"/>
    <col min="3567" max="3567" width="21.42578125" style="108" customWidth="1"/>
    <col min="3568" max="3568" width="20.85546875" style="108" customWidth="1"/>
    <col min="3569" max="3569" width="0" style="108" hidden="1" customWidth="1"/>
    <col min="3570" max="3817" width="9.140625" style="108"/>
    <col min="3818" max="3818" width="21.42578125" style="108" customWidth="1"/>
    <col min="3819" max="3819" width="16.42578125" style="108" customWidth="1"/>
    <col min="3820" max="3820" width="18" style="108" customWidth="1"/>
    <col min="3821" max="3821" width="23.7109375" style="108" customWidth="1"/>
    <col min="3822" max="3822" width="26" style="108" customWidth="1"/>
    <col min="3823" max="3823" width="21.42578125" style="108" customWidth="1"/>
    <col min="3824" max="3824" width="20.85546875" style="108" customWidth="1"/>
    <col min="3825" max="3825" width="0" style="108" hidden="1" customWidth="1"/>
    <col min="3826" max="4073" width="9.140625" style="108"/>
    <col min="4074" max="4074" width="21.42578125" style="108" customWidth="1"/>
    <col min="4075" max="4075" width="16.42578125" style="108" customWidth="1"/>
    <col min="4076" max="4076" width="18" style="108" customWidth="1"/>
    <col min="4077" max="4077" width="23.7109375" style="108" customWidth="1"/>
    <col min="4078" max="4078" width="26" style="108" customWidth="1"/>
    <col min="4079" max="4079" width="21.42578125" style="108" customWidth="1"/>
    <col min="4080" max="4080" width="20.85546875" style="108" customWidth="1"/>
    <col min="4081" max="4081" width="0" style="108" hidden="1" customWidth="1"/>
    <col min="4082" max="4329" width="9.140625" style="108"/>
    <col min="4330" max="4330" width="21.42578125" style="108" customWidth="1"/>
    <col min="4331" max="4331" width="16.42578125" style="108" customWidth="1"/>
    <col min="4332" max="4332" width="18" style="108" customWidth="1"/>
    <col min="4333" max="4333" width="23.7109375" style="108" customWidth="1"/>
    <col min="4334" max="4334" width="26" style="108" customWidth="1"/>
    <col min="4335" max="4335" width="21.42578125" style="108" customWidth="1"/>
    <col min="4336" max="4336" width="20.85546875" style="108" customWidth="1"/>
    <col min="4337" max="4337" width="0" style="108" hidden="1" customWidth="1"/>
    <col min="4338" max="4585" width="9.140625" style="108"/>
    <col min="4586" max="4586" width="21.42578125" style="108" customWidth="1"/>
    <col min="4587" max="4587" width="16.42578125" style="108" customWidth="1"/>
    <col min="4588" max="4588" width="18" style="108" customWidth="1"/>
    <col min="4589" max="4589" width="23.7109375" style="108" customWidth="1"/>
    <col min="4590" max="4590" width="26" style="108" customWidth="1"/>
    <col min="4591" max="4591" width="21.42578125" style="108" customWidth="1"/>
    <col min="4592" max="4592" width="20.85546875" style="108" customWidth="1"/>
    <col min="4593" max="4593" width="0" style="108" hidden="1" customWidth="1"/>
    <col min="4594" max="4841" width="9.140625" style="108"/>
    <col min="4842" max="4842" width="21.42578125" style="108" customWidth="1"/>
    <col min="4843" max="4843" width="16.42578125" style="108" customWidth="1"/>
    <col min="4844" max="4844" width="18" style="108" customWidth="1"/>
    <col min="4845" max="4845" width="23.7109375" style="108" customWidth="1"/>
    <col min="4846" max="4846" width="26" style="108" customWidth="1"/>
    <col min="4847" max="4847" width="21.42578125" style="108" customWidth="1"/>
    <col min="4848" max="4848" width="20.85546875" style="108" customWidth="1"/>
    <col min="4849" max="4849" width="0" style="108" hidden="1" customWidth="1"/>
    <col min="4850" max="5097" width="9.140625" style="108"/>
    <col min="5098" max="5098" width="21.42578125" style="108" customWidth="1"/>
    <col min="5099" max="5099" width="16.42578125" style="108" customWidth="1"/>
    <col min="5100" max="5100" width="18" style="108" customWidth="1"/>
    <col min="5101" max="5101" width="23.7109375" style="108" customWidth="1"/>
    <col min="5102" max="5102" width="26" style="108" customWidth="1"/>
    <col min="5103" max="5103" width="21.42578125" style="108" customWidth="1"/>
    <col min="5104" max="5104" width="20.85546875" style="108" customWidth="1"/>
    <col min="5105" max="5105" width="0" style="108" hidden="1" customWidth="1"/>
    <col min="5106" max="5353" width="9.140625" style="108"/>
    <col min="5354" max="5354" width="21.42578125" style="108" customWidth="1"/>
    <col min="5355" max="5355" width="16.42578125" style="108" customWidth="1"/>
    <col min="5356" max="5356" width="18" style="108" customWidth="1"/>
    <col min="5357" max="5357" width="23.7109375" style="108" customWidth="1"/>
    <col min="5358" max="5358" width="26" style="108" customWidth="1"/>
    <col min="5359" max="5359" width="21.42578125" style="108" customWidth="1"/>
    <col min="5360" max="5360" width="20.85546875" style="108" customWidth="1"/>
    <col min="5361" max="5361" width="0" style="108" hidden="1" customWidth="1"/>
    <col min="5362" max="5609" width="9.140625" style="108"/>
    <col min="5610" max="5610" width="21.42578125" style="108" customWidth="1"/>
    <col min="5611" max="5611" width="16.42578125" style="108" customWidth="1"/>
    <col min="5612" max="5612" width="18" style="108" customWidth="1"/>
    <col min="5613" max="5613" width="23.7109375" style="108" customWidth="1"/>
    <col min="5614" max="5614" width="26" style="108" customWidth="1"/>
    <col min="5615" max="5615" width="21.42578125" style="108" customWidth="1"/>
    <col min="5616" max="5616" width="20.85546875" style="108" customWidth="1"/>
    <col min="5617" max="5617" width="0" style="108" hidden="1" customWidth="1"/>
    <col min="5618" max="5865" width="9.140625" style="108"/>
    <col min="5866" max="5866" width="21.42578125" style="108" customWidth="1"/>
    <col min="5867" max="5867" width="16.42578125" style="108" customWidth="1"/>
    <col min="5868" max="5868" width="18" style="108" customWidth="1"/>
    <col min="5869" max="5869" width="23.7109375" style="108" customWidth="1"/>
    <col min="5870" max="5870" width="26" style="108" customWidth="1"/>
    <col min="5871" max="5871" width="21.42578125" style="108" customWidth="1"/>
    <col min="5872" max="5872" width="20.85546875" style="108" customWidth="1"/>
    <col min="5873" max="5873" width="0" style="108" hidden="1" customWidth="1"/>
    <col min="5874" max="6121" width="9.140625" style="108"/>
    <col min="6122" max="6122" width="21.42578125" style="108" customWidth="1"/>
    <col min="6123" max="6123" width="16.42578125" style="108" customWidth="1"/>
    <col min="6124" max="6124" width="18" style="108" customWidth="1"/>
    <col min="6125" max="6125" width="23.7109375" style="108" customWidth="1"/>
    <col min="6126" max="6126" width="26" style="108" customWidth="1"/>
    <col min="6127" max="6127" width="21.42578125" style="108" customWidth="1"/>
    <col min="6128" max="6128" width="20.85546875" style="108" customWidth="1"/>
    <col min="6129" max="6129" width="0" style="108" hidden="1" customWidth="1"/>
    <col min="6130" max="6377" width="9.140625" style="108"/>
    <col min="6378" max="6378" width="21.42578125" style="108" customWidth="1"/>
    <col min="6379" max="6379" width="16.42578125" style="108" customWidth="1"/>
    <col min="6380" max="6380" width="18" style="108" customWidth="1"/>
    <col min="6381" max="6381" width="23.7109375" style="108" customWidth="1"/>
    <col min="6382" max="6382" width="26" style="108" customWidth="1"/>
    <col min="6383" max="6383" width="21.42578125" style="108" customWidth="1"/>
    <col min="6384" max="6384" width="20.85546875" style="108" customWidth="1"/>
    <col min="6385" max="6385" width="0" style="108" hidden="1" customWidth="1"/>
    <col min="6386" max="6633" width="9.140625" style="108"/>
    <col min="6634" max="6634" width="21.42578125" style="108" customWidth="1"/>
    <col min="6635" max="6635" width="16.42578125" style="108" customWidth="1"/>
    <col min="6636" max="6636" width="18" style="108" customWidth="1"/>
    <col min="6637" max="6637" width="23.7109375" style="108" customWidth="1"/>
    <col min="6638" max="6638" width="26" style="108" customWidth="1"/>
    <col min="6639" max="6639" width="21.42578125" style="108" customWidth="1"/>
    <col min="6640" max="6640" width="20.85546875" style="108" customWidth="1"/>
    <col min="6641" max="6641" width="0" style="108" hidden="1" customWidth="1"/>
    <col min="6642" max="6889" width="9.140625" style="108"/>
    <col min="6890" max="6890" width="21.42578125" style="108" customWidth="1"/>
    <col min="6891" max="6891" width="16.42578125" style="108" customWidth="1"/>
    <col min="6892" max="6892" width="18" style="108" customWidth="1"/>
    <col min="6893" max="6893" width="23.7109375" style="108" customWidth="1"/>
    <col min="6894" max="6894" width="26" style="108" customWidth="1"/>
    <col min="6895" max="6895" width="21.42578125" style="108" customWidth="1"/>
    <col min="6896" max="6896" width="20.85546875" style="108" customWidth="1"/>
    <col min="6897" max="6897" width="0" style="108" hidden="1" customWidth="1"/>
    <col min="6898" max="7145" width="9.140625" style="108"/>
    <col min="7146" max="7146" width="21.42578125" style="108" customWidth="1"/>
    <col min="7147" max="7147" width="16.42578125" style="108" customWidth="1"/>
    <col min="7148" max="7148" width="18" style="108" customWidth="1"/>
    <col min="7149" max="7149" width="23.7109375" style="108" customWidth="1"/>
    <col min="7150" max="7150" width="26" style="108" customWidth="1"/>
    <col min="7151" max="7151" width="21.42578125" style="108" customWidth="1"/>
    <col min="7152" max="7152" width="20.85546875" style="108" customWidth="1"/>
    <col min="7153" max="7153" width="0" style="108" hidden="1" customWidth="1"/>
    <col min="7154" max="7401" width="9.140625" style="108"/>
    <col min="7402" max="7402" width="21.42578125" style="108" customWidth="1"/>
    <col min="7403" max="7403" width="16.42578125" style="108" customWidth="1"/>
    <col min="7404" max="7404" width="18" style="108" customWidth="1"/>
    <col min="7405" max="7405" width="23.7109375" style="108" customWidth="1"/>
    <col min="7406" max="7406" width="26" style="108" customWidth="1"/>
    <col min="7407" max="7407" width="21.42578125" style="108" customWidth="1"/>
    <col min="7408" max="7408" width="20.85546875" style="108" customWidth="1"/>
    <col min="7409" max="7409" width="0" style="108" hidden="1" customWidth="1"/>
    <col min="7410" max="7657" width="9.140625" style="108"/>
    <col min="7658" max="7658" width="21.42578125" style="108" customWidth="1"/>
    <col min="7659" max="7659" width="16.42578125" style="108" customWidth="1"/>
    <col min="7660" max="7660" width="18" style="108" customWidth="1"/>
    <col min="7661" max="7661" width="23.7109375" style="108" customWidth="1"/>
    <col min="7662" max="7662" width="26" style="108" customWidth="1"/>
    <col min="7663" max="7663" width="21.42578125" style="108" customWidth="1"/>
    <col min="7664" max="7664" width="20.85546875" style="108" customWidth="1"/>
    <col min="7665" max="7665" width="0" style="108" hidden="1" customWidth="1"/>
    <col min="7666" max="7913" width="9.140625" style="108"/>
    <col min="7914" max="7914" width="21.42578125" style="108" customWidth="1"/>
    <col min="7915" max="7915" width="16.42578125" style="108" customWidth="1"/>
    <col min="7916" max="7916" width="18" style="108" customWidth="1"/>
    <col min="7917" max="7917" width="23.7109375" style="108" customWidth="1"/>
    <col min="7918" max="7918" width="26" style="108" customWidth="1"/>
    <col min="7919" max="7919" width="21.42578125" style="108" customWidth="1"/>
    <col min="7920" max="7920" width="20.85546875" style="108" customWidth="1"/>
    <col min="7921" max="7921" width="0" style="108" hidden="1" customWidth="1"/>
    <col min="7922" max="8169" width="9.140625" style="108"/>
    <col min="8170" max="8170" width="21.42578125" style="108" customWidth="1"/>
    <col min="8171" max="8171" width="16.42578125" style="108" customWidth="1"/>
    <col min="8172" max="8172" width="18" style="108" customWidth="1"/>
    <col min="8173" max="8173" width="23.7109375" style="108" customWidth="1"/>
    <col min="8174" max="8174" width="26" style="108" customWidth="1"/>
    <col min="8175" max="8175" width="21.42578125" style="108" customWidth="1"/>
    <col min="8176" max="8176" width="20.85546875" style="108" customWidth="1"/>
    <col min="8177" max="8177" width="0" style="108" hidden="1" customWidth="1"/>
    <col min="8178" max="8425" width="9.140625" style="108"/>
    <col min="8426" max="8426" width="21.42578125" style="108" customWidth="1"/>
    <col min="8427" max="8427" width="16.42578125" style="108" customWidth="1"/>
    <col min="8428" max="8428" width="18" style="108" customWidth="1"/>
    <col min="8429" max="8429" width="23.7109375" style="108" customWidth="1"/>
    <col min="8430" max="8430" width="26" style="108" customWidth="1"/>
    <col min="8431" max="8431" width="21.42578125" style="108" customWidth="1"/>
    <col min="8432" max="8432" width="20.85546875" style="108" customWidth="1"/>
    <col min="8433" max="8433" width="0" style="108" hidden="1" customWidth="1"/>
    <col min="8434" max="8681" width="9.140625" style="108"/>
    <col min="8682" max="8682" width="21.42578125" style="108" customWidth="1"/>
    <col min="8683" max="8683" width="16.42578125" style="108" customWidth="1"/>
    <col min="8684" max="8684" width="18" style="108" customWidth="1"/>
    <col min="8685" max="8685" width="23.7109375" style="108" customWidth="1"/>
    <col min="8686" max="8686" width="26" style="108" customWidth="1"/>
    <col min="8687" max="8687" width="21.42578125" style="108" customWidth="1"/>
    <col min="8688" max="8688" width="20.85546875" style="108" customWidth="1"/>
    <col min="8689" max="8689" width="0" style="108" hidden="1" customWidth="1"/>
    <col min="8690" max="8937" width="9.140625" style="108"/>
    <col min="8938" max="8938" width="21.42578125" style="108" customWidth="1"/>
    <col min="8939" max="8939" width="16.42578125" style="108" customWidth="1"/>
    <col min="8940" max="8940" width="18" style="108" customWidth="1"/>
    <col min="8941" max="8941" width="23.7109375" style="108" customWidth="1"/>
    <col min="8942" max="8942" width="26" style="108" customWidth="1"/>
    <col min="8943" max="8943" width="21.42578125" style="108" customWidth="1"/>
    <col min="8944" max="8944" width="20.85546875" style="108" customWidth="1"/>
    <col min="8945" max="8945" width="0" style="108" hidden="1" customWidth="1"/>
    <col min="8946" max="9193" width="9.140625" style="108"/>
    <col min="9194" max="9194" width="21.42578125" style="108" customWidth="1"/>
    <col min="9195" max="9195" width="16.42578125" style="108" customWidth="1"/>
    <col min="9196" max="9196" width="18" style="108" customWidth="1"/>
    <col min="9197" max="9197" width="23.7109375" style="108" customWidth="1"/>
    <col min="9198" max="9198" width="26" style="108" customWidth="1"/>
    <col min="9199" max="9199" width="21.42578125" style="108" customWidth="1"/>
    <col min="9200" max="9200" width="20.85546875" style="108" customWidth="1"/>
    <col min="9201" max="9201" width="0" style="108" hidden="1" customWidth="1"/>
    <col min="9202" max="9449" width="9.140625" style="108"/>
    <col min="9450" max="9450" width="21.42578125" style="108" customWidth="1"/>
    <col min="9451" max="9451" width="16.42578125" style="108" customWidth="1"/>
    <col min="9452" max="9452" width="18" style="108" customWidth="1"/>
    <col min="9453" max="9453" width="23.7109375" style="108" customWidth="1"/>
    <col min="9454" max="9454" width="26" style="108" customWidth="1"/>
    <col min="9455" max="9455" width="21.42578125" style="108" customWidth="1"/>
    <col min="9456" max="9456" width="20.85546875" style="108" customWidth="1"/>
    <col min="9457" max="9457" width="0" style="108" hidden="1" customWidth="1"/>
    <col min="9458" max="9705" width="9.140625" style="108"/>
    <col min="9706" max="9706" width="21.42578125" style="108" customWidth="1"/>
    <col min="9707" max="9707" width="16.42578125" style="108" customWidth="1"/>
    <col min="9708" max="9708" width="18" style="108" customWidth="1"/>
    <col min="9709" max="9709" width="23.7109375" style="108" customWidth="1"/>
    <col min="9710" max="9710" width="26" style="108" customWidth="1"/>
    <col min="9711" max="9711" width="21.42578125" style="108" customWidth="1"/>
    <col min="9712" max="9712" width="20.85546875" style="108" customWidth="1"/>
    <col min="9713" max="9713" width="0" style="108" hidden="1" customWidth="1"/>
    <col min="9714" max="9961" width="9.140625" style="108"/>
    <col min="9962" max="9962" width="21.42578125" style="108" customWidth="1"/>
    <col min="9963" max="9963" width="16.42578125" style="108" customWidth="1"/>
    <col min="9964" max="9964" width="18" style="108" customWidth="1"/>
    <col min="9965" max="9965" width="23.7109375" style="108" customWidth="1"/>
    <col min="9966" max="9966" width="26" style="108" customWidth="1"/>
    <col min="9967" max="9967" width="21.42578125" style="108" customWidth="1"/>
    <col min="9968" max="9968" width="20.85546875" style="108" customWidth="1"/>
    <col min="9969" max="9969" width="0" style="108" hidden="1" customWidth="1"/>
    <col min="9970" max="10217" width="9.140625" style="108"/>
    <col min="10218" max="10218" width="21.42578125" style="108" customWidth="1"/>
    <col min="10219" max="10219" width="16.42578125" style="108" customWidth="1"/>
    <col min="10220" max="10220" width="18" style="108" customWidth="1"/>
    <col min="10221" max="10221" width="23.7109375" style="108" customWidth="1"/>
    <col min="10222" max="10222" width="26" style="108" customWidth="1"/>
    <col min="10223" max="10223" width="21.42578125" style="108" customWidth="1"/>
    <col min="10224" max="10224" width="20.85546875" style="108" customWidth="1"/>
    <col min="10225" max="10225" width="0" style="108" hidden="1" customWidth="1"/>
    <col min="10226" max="10473" width="9.140625" style="108"/>
    <col min="10474" max="10474" width="21.42578125" style="108" customWidth="1"/>
    <col min="10475" max="10475" width="16.42578125" style="108" customWidth="1"/>
    <col min="10476" max="10476" width="18" style="108" customWidth="1"/>
    <col min="10477" max="10477" width="23.7109375" style="108" customWidth="1"/>
    <col min="10478" max="10478" width="26" style="108" customWidth="1"/>
    <col min="10479" max="10479" width="21.42578125" style="108" customWidth="1"/>
    <col min="10480" max="10480" width="20.85546875" style="108" customWidth="1"/>
    <col min="10481" max="10481" width="0" style="108" hidden="1" customWidth="1"/>
    <col min="10482" max="10729" width="9.140625" style="108"/>
    <col min="10730" max="10730" width="21.42578125" style="108" customWidth="1"/>
    <col min="10731" max="10731" width="16.42578125" style="108" customWidth="1"/>
    <col min="10732" max="10732" width="18" style="108" customWidth="1"/>
    <col min="10733" max="10733" width="23.7109375" style="108" customWidth="1"/>
    <col min="10734" max="10734" width="26" style="108" customWidth="1"/>
    <col min="10735" max="10735" width="21.42578125" style="108" customWidth="1"/>
    <col min="10736" max="10736" width="20.85546875" style="108" customWidth="1"/>
    <col min="10737" max="10737" width="0" style="108" hidden="1" customWidth="1"/>
    <col min="10738" max="10985" width="9.140625" style="108"/>
    <col min="10986" max="10986" width="21.42578125" style="108" customWidth="1"/>
    <col min="10987" max="10987" width="16.42578125" style="108" customWidth="1"/>
    <col min="10988" max="10988" width="18" style="108" customWidth="1"/>
    <col min="10989" max="10989" width="23.7109375" style="108" customWidth="1"/>
    <col min="10990" max="10990" width="26" style="108" customWidth="1"/>
    <col min="10991" max="10991" width="21.42578125" style="108" customWidth="1"/>
    <col min="10992" max="10992" width="20.85546875" style="108" customWidth="1"/>
    <col min="10993" max="10993" width="0" style="108" hidden="1" customWidth="1"/>
    <col min="10994" max="11241" width="9.140625" style="108"/>
    <col min="11242" max="11242" width="21.42578125" style="108" customWidth="1"/>
    <col min="11243" max="11243" width="16.42578125" style="108" customWidth="1"/>
    <col min="11244" max="11244" width="18" style="108" customWidth="1"/>
    <col min="11245" max="11245" width="23.7109375" style="108" customWidth="1"/>
    <col min="11246" max="11246" width="26" style="108" customWidth="1"/>
    <col min="11247" max="11247" width="21.42578125" style="108" customWidth="1"/>
    <col min="11248" max="11248" width="20.85546875" style="108" customWidth="1"/>
    <col min="11249" max="11249" width="0" style="108" hidden="1" customWidth="1"/>
    <col min="11250" max="11497" width="9.140625" style="108"/>
    <col min="11498" max="11498" width="21.42578125" style="108" customWidth="1"/>
    <col min="11499" max="11499" width="16.42578125" style="108" customWidth="1"/>
    <col min="11500" max="11500" width="18" style="108" customWidth="1"/>
    <col min="11501" max="11501" width="23.7109375" style="108" customWidth="1"/>
    <col min="11502" max="11502" width="26" style="108" customWidth="1"/>
    <col min="11503" max="11503" width="21.42578125" style="108" customWidth="1"/>
    <col min="11504" max="11504" width="20.85546875" style="108" customWidth="1"/>
    <col min="11505" max="11505" width="0" style="108" hidden="1" customWidth="1"/>
    <col min="11506" max="11753" width="9.140625" style="108"/>
    <col min="11754" max="11754" width="21.42578125" style="108" customWidth="1"/>
    <col min="11755" max="11755" width="16.42578125" style="108" customWidth="1"/>
    <col min="11756" max="11756" width="18" style="108" customWidth="1"/>
    <col min="11757" max="11757" width="23.7109375" style="108" customWidth="1"/>
    <col min="11758" max="11758" width="26" style="108" customWidth="1"/>
    <col min="11759" max="11759" width="21.42578125" style="108" customWidth="1"/>
    <col min="11760" max="11760" width="20.85546875" style="108" customWidth="1"/>
    <col min="11761" max="11761" width="0" style="108" hidden="1" customWidth="1"/>
    <col min="11762" max="12009" width="9.140625" style="108"/>
    <col min="12010" max="12010" width="21.42578125" style="108" customWidth="1"/>
    <col min="12011" max="12011" width="16.42578125" style="108" customWidth="1"/>
    <col min="12012" max="12012" width="18" style="108" customWidth="1"/>
    <col min="12013" max="12013" width="23.7109375" style="108" customWidth="1"/>
    <col min="12014" max="12014" width="26" style="108" customWidth="1"/>
    <col min="12015" max="12015" width="21.42578125" style="108" customWidth="1"/>
    <col min="12016" max="12016" width="20.85546875" style="108" customWidth="1"/>
    <col min="12017" max="12017" width="0" style="108" hidden="1" customWidth="1"/>
    <col min="12018" max="12265" width="9.140625" style="108"/>
    <col min="12266" max="12266" width="21.42578125" style="108" customWidth="1"/>
    <col min="12267" max="12267" width="16.42578125" style="108" customWidth="1"/>
    <col min="12268" max="12268" width="18" style="108" customWidth="1"/>
    <col min="12269" max="12269" width="23.7109375" style="108" customWidth="1"/>
    <col min="12270" max="12270" width="26" style="108" customWidth="1"/>
    <col min="12271" max="12271" width="21.42578125" style="108" customWidth="1"/>
    <col min="12272" max="12272" width="20.85546875" style="108" customWidth="1"/>
    <col min="12273" max="12273" width="0" style="108" hidden="1" customWidth="1"/>
    <col min="12274" max="12521" width="9.140625" style="108"/>
    <col min="12522" max="12522" width="21.42578125" style="108" customWidth="1"/>
    <col min="12523" max="12523" width="16.42578125" style="108" customWidth="1"/>
    <col min="12524" max="12524" width="18" style="108" customWidth="1"/>
    <col min="12525" max="12525" width="23.7109375" style="108" customWidth="1"/>
    <col min="12526" max="12526" width="26" style="108" customWidth="1"/>
    <col min="12527" max="12527" width="21.42578125" style="108" customWidth="1"/>
    <col min="12528" max="12528" width="20.85546875" style="108" customWidth="1"/>
    <col min="12529" max="12529" width="0" style="108" hidden="1" customWidth="1"/>
    <col min="12530" max="12777" width="9.140625" style="108"/>
    <col min="12778" max="12778" width="21.42578125" style="108" customWidth="1"/>
    <col min="12779" max="12779" width="16.42578125" style="108" customWidth="1"/>
    <col min="12780" max="12780" width="18" style="108" customWidth="1"/>
    <col min="12781" max="12781" width="23.7109375" style="108" customWidth="1"/>
    <col min="12782" max="12782" width="26" style="108" customWidth="1"/>
    <col min="12783" max="12783" width="21.42578125" style="108" customWidth="1"/>
    <col min="12784" max="12784" width="20.85546875" style="108" customWidth="1"/>
    <col min="12785" max="12785" width="0" style="108" hidden="1" customWidth="1"/>
    <col min="12786" max="13033" width="9.140625" style="108"/>
    <col min="13034" max="13034" width="21.42578125" style="108" customWidth="1"/>
    <col min="13035" max="13035" width="16.42578125" style="108" customWidth="1"/>
    <col min="13036" max="13036" width="18" style="108" customWidth="1"/>
    <col min="13037" max="13037" width="23.7109375" style="108" customWidth="1"/>
    <col min="13038" max="13038" width="26" style="108" customWidth="1"/>
    <col min="13039" max="13039" width="21.42578125" style="108" customWidth="1"/>
    <col min="13040" max="13040" width="20.85546875" style="108" customWidth="1"/>
    <col min="13041" max="13041" width="0" style="108" hidden="1" customWidth="1"/>
    <col min="13042" max="13289" width="9.140625" style="108"/>
    <col min="13290" max="13290" width="21.42578125" style="108" customWidth="1"/>
    <col min="13291" max="13291" width="16.42578125" style="108" customWidth="1"/>
    <col min="13292" max="13292" width="18" style="108" customWidth="1"/>
    <col min="13293" max="13293" width="23.7109375" style="108" customWidth="1"/>
    <col min="13294" max="13294" width="26" style="108" customWidth="1"/>
    <col min="13295" max="13295" width="21.42578125" style="108" customWidth="1"/>
    <col min="13296" max="13296" width="20.85546875" style="108" customWidth="1"/>
    <col min="13297" max="13297" width="0" style="108" hidden="1" customWidth="1"/>
    <col min="13298" max="13545" width="9.140625" style="108"/>
    <col min="13546" max="13546" width="21.42578125" style="108" customWidth="1"/>
    <col min="13547" max="13547" width="16.42578125" style="108" customWidth="1"/>
    <col min="13548" max="13548" width="18" style="108" customWidth="1"/>
    <col min="13549" max="13549" width="23.7109375" style="108" customWidth="1"/>
    <col min="13550" max="13550" width="26" style="108" customWidth="1"/>
    <col min="13551" max="13551" width="21.42578125" style="108" customWidth="1"/>
    <col min="13552" max="13552" width="20.85546875" style="108" customWidth="1"/>
    <col min="13553" max="13553" width="0" style="108" hidden="1" customWidth="1"/>
    <col min="13554" max="13801" width="9.140625" style="108"/>
    <col min="13802" max="13802" width="21.42578125" style="108" customWidth="1"/>
    <col min="13803" max="13803" width="16.42578125" style="108" customWidth="1"/>
    <col min="13804" max="13804" width="18" style="108" customWidth="1"/>
    <col min="13805" max="13805" width="23.7109375" style="108" customWidth="1"/>
    <col min="13806" max="13806" width="26" style="108" customWidth="1"/>
    <col min="13807" max="13807" width="21.42578125" style="108" customWidth="1"/>
    <col min="13808" max="13808" width="20.85546875" style="108" customWidth="1"/>
    <col min="13809" max="13809" width="0" style="108" hidden="1" customWidth="1"/>
    <col min="13810" max="14057" width="9.140625" style="108"/>
    <col min="14058" max="14058" width="21.42578125" style="108" customWidth="1"/>
    <col min="14059" max="14059" width="16.42578125" style="108" customWidth="1"/>
    <col min="14060" max="14060" width="18" style="108" customWidth="1"/>
    <col min="14061" max="14061" width="23.7109375" style="108" customWidth="1"/>
    <col min="14062" max="14062" width="26" style="108" customWidth="1"/>
    <col min="14063" max="14063" width="21.42578125" style="108" customWidth="1"/>
    <col min="14064" max="14064" width="20.85546875" style="108" customWidth="1"/>
    <col min="14065" max="14065" width="0" style="108" hidden="1" customWidth="1"/>
    <col min="14066" max="14313" width="9.140625" style="108"/>
    <col min="14314" max="14314" width="21.42578125" style="108" customWidth="1"/>
    <col min="14315" max="14315" width="16.42578125" style="108" customWidth="1"/>
    <col min="14316" max="14316" width="18" style="108" customWidth="1"/>
    <col min="14317" max="14317" width="23.7109375" style="108" customWidth="1"/>
    <col min="14318" max="14318" width="26" style="108" customWidth="1"/>
    <col min="14319" max="14319" width="21.42578125" style="108" customWidth="1"/>
    <col min="14320" max="14320" width="20.85546875" style="108" customWidth="1"/>
    <col min="14321" max="14321" width="0" style="108" hidden="1" customWidth="1"/>
    <col min="14322" max="14569" width="9.140625" style="108"/>
    <col min="14570" max="14570" width="21.42578125" style="108" customWidth="1"/>
    <col min="14571" max="14571" width="16.42578125" style="108" customWidth="1"/>
    <col min="14572" max="14572" width="18" style="108" customWidth="1"/>
    <col min="14573" max="14573" width="23.7109375" style="108" customWidth="1"/>
    <col min="14574" max="14574" width="26" style="108" customWidth="1"/>
    <col min="14575" max="14575" width="21.42578125" style="108" customWidth="1"/>
    <col min="14576" max="14576" width="20.85546875" style="108" customWidth="1"/>
    <col min="14577" max="14577" width="0" style="108" hidden="1" customWidth="1"/>
    <col min="14578" max="14825" width="9.140625" style="108"/>
    <col min="14826" max="14826" width="21.42578125" style="108" customWidth="1"/>
    <col min="14827" max="14827" width="16.42578125" style="108" customWidth="1"/>
    <col min="14828" max="14828" width="18" style="108" customWidth="1"/>
    <col min="14829" max="14829" width="23.7109375" style="108" customWidth="1"/>
    <col min="14830" max="14830" width="26" style="108" customWidth="1"/>
    <col min="14831" max="14831" width="21.42578125" style="108" customWidth="1"/>
    <col min="14832" max="14832" width="20.85546875" style="108" customWidth="1"/>
    <col min="14833" max="14833" width="0" style="108" hidden="1" customWidth="1"/>
    <col min="14834" max="15081" width="9.140625" style="108"/>
    <col min="15082" max="15082" width="21.42578125" style="108" customWidth="1"/>
    <col min="15083" max="15083" width="16.42578125" style="108" customWidth="1"/>
    <col min="15084" max="15084" width="18" style="108" customWidth="1"/>
    <col min="15085" max="15085" width="23.7109375" style="108" customWidth="1"/>
    <col min="15086" max="15086" width="26" style="108" customWidth="1"/>
    <col min="15087" max="15087" width="21.42578125" style="108" customWidth="1"/>
    <col min="15088" max="15088" width="20.85546875" style="108" customWidth="1"/>
    <col min="15089" max="15089" width="0" style="108" hidden="1" customWidth="1"/>
    <col min="15090" max="15337" width="9.140625" style="108"/>
    <col min="15338" max="15338" width="21.42578125" style="108" customWidth="1"/>
    <col min="15339" max="15339" width="16.42578125" style="108" customWidth="1"/>
    <col min="15340" max="15340" width="18" style="108" customWidth="1"/>
    <col min="15341" max="15341" width="23.7109375" style="108" customWidth="1"/>
    <col min="15342" max="15342" width="26" style="108" customWidth="1"/>
    <col min="15343" max="15343" width="21.42578125" style="108" customWidth="1"/>
    <col min="15344" max="15344" width="20.85546875" style="108" customWidth="1"/>
    <col min="15345" max="15345" width="0" style="108" hidden="1" customWidth="1"/>
    <col min="15346" max="15593" width="9.140625" style="108"/>
    <col min="15594" max="15594" width="21.42578125" style="108" customWidth="1"/>
    <col min="15595" max="15595" width="16.42578125" style="108" customWidth="1"/>
    <col min="15596" max="15596" width="18" style="108" customWidth="1"/>
    <col min="15597" max="15597" width="23.7109375" style="108" customWidth="1"/>
    <col min="15598" max="15598" width="26" style="108" customWidth="1"/>
    <col min="15599" max="15599" width="21.42578125" style="108" customWidth="1"/>
    <col min="15600" max="15600" width="20.85546875" style="108" customWidth="1"/>
    <col min="15601" max="15601" width="0" style="108" hidden="1" customWidth="1"/>
    <col min="15602" max="15849" width="9.140625" style="108"/>
    <col min="15850" max="15850" width="21.42578125" style="108" customWidth="1"/>
    <col min="15851" max="15851" width="16.42578125" style="108" customWidth="1"/>
    <col min="15852" max="15852" width="18" style="108" customWidth="1"/>
    <col min="15853" max="15853" width="23.7109375" style="108" customWidth="1"/>
    <col min="15854" max="15854" width="26" style="108" customWidth="1"/>
    <col min="15855" max="15855" width="21.42578125" style="108" customWidth="1"/>
    <col min="15856" max="15856" width="20.85546875" style="108" customWidth="1"/>
    <col min="15857" max="15857" width="0" style="108" hidden="1" customWidth="1"/>
    <col min="15858" max="16105" width="9.140625" style="108"/>
    <col min="16106" max="16106" width="21.42578125" style="108" customWidth="1"/>
    <col min="16107" max="16107" width="16.42578125" style="108" customWidth="1"/>
    <col min="16108" max="16108" width="18" style="108" customWidth="1"/>
    <col min="16109" max="16109" width="23.7109375" style="108" customWidth="1"/>
    <col min="16110" max="16110" width="26" style="108" customWidth="1"/>
    <col min="16111" max="16111" width="21.42578125" style="108" customWidth="1"/>
    <col min="16112" max="16112" width="20.85546875" style="108" customWidth="1"/>
    <col min="16113" max="16113" width="0" style="108" hidden="1" customWidth="1"/>
    <col min="16114" max="16382" width="9.140625" style="108"/>
    <col min="16383" max="16384" width="9.140625" style="108" customWidth="1"/>
  </cols>
  <sheetData>
    <row r="1" spans="2:17" ht="9" customHeight="1" thickBot="1" x14ac:dyDescent="0.25"/>
    <row r="2" spans="2:17" s="110" customFormat="1" ht="30" customHeight="1" thickBot="1" x14ac:dyDescent="0.3">
      <c r="B2" s="128" t="s">
        <v>29</v>
      </c>
      <c r="C2" s="129"/>
      <c r="D2" s="129"/>
      <c r="E2" s="129"/>
      <c r="F2" s="129"/>
      <c r="G2" s="129"/>
      <c r="H2" s="129"/>
      <c r="I2" s="129"/>
      <c r="J2" s="129"/>
      <c r="K2" s="131"/>
      <c r="L2" s="130"/>
      <c r="M2" s="130"/>
      <c r="N2" s="132"/>
    </row>
    <row r="3" spans="2:17" ht="15" x14ac:dyDescent="0.25">
      <c r="K3" s="133"/>
      <c r="L3" s="134"/>
      <c r="M3" s="134"/>
      <c r="N3" s="134"/>
      <c r="P3" s="1046" t="s">
        <v>148</v>
      </c>
      <c r="Q3" s="1047"/>
    </row>
    <row r="4" spans="2:17" ht="45" customHeight="1" x14ac:dyDescent="0.25">
      <c r="B4" s="111" t="s">
        <v>126</v>
      </c>
      <c r="C4" s="112" t="s">
        <v>30</v>
      </c>
      <c r="D4" s="112" t="s">
        <v>8</v>
      </c>
      <c r="E4" s="112" t="s">
        <v>34</v>
      </c>
      <c r="F4" s="112" t="s">
        <v>146</v>
      </c>
      <c r="G4" s="112" t="s">
        <v>195</v>
      </c>
      <c r="H4" s="112" t="s">
        <v>196</v>
      </c>
      <c r="I4" s="112" t="s">
        <v>197</v>
      </c>
      <c r="J4" s="112" t="s">
        <v>198</v>
      </c>
      <c r="K4" s="112" t="s">
        <v>93</v>
      </c>
      <c r="L4" s="112" t="s">
        <v>32</v>
      </c>
      <c r="M4" s="112" t="s">
        <v>33</v>
      </c>
      <c r="N4" s="113" t="s">
        <v>34</v>
      </c>
      <c r="P4" s="1042" t="s">
        <v>199</v>
      </c>
      <c r="Q4" s="1044" t="s">
        <v>147</v>
      </c>
    </row>
    <row r="5" spans="2:17" ht="15.75" customHeight="1" x14ac:dyDescent="0.25">
      <c r="B5" s="114" t="s">
        <v>31</v>
      </c>
      <c r="C5" s="115" t="s">
        <v>0</v>
      </c>
      <c r="D5" s="115" t="s">
        <v>0</v>
      </c>
      <c r="E5" s="115" t="s">
        <v>0</v>
      </c>
      <c r="F5" s="116" t="s">
        <v>0</v>
      </c>
      <c r="G5" s="116" t="s">
        <v>0</v>
      </c>
      <c r="H5" s="116" t="s">
        <v>0</v>
      </c>
      <c r="I5" s="115" t="s">
        <v>0</v>
      </c>
      <c r="J5" s="115" t="s">
        <v>0</v>
      </c>
      <c r="K5" s="116" t="s">
        <v>0</v>
      </c>
      <c r="L5" s="116" t="s">
        <v>0</v>
      </c>
      <c r="M5" s="115" t="s">
        <v>1</v>
      </c>
      <c r="N5" s="117" t="s">
        <v>35</v>
      </c>
      <c r="P5" s="1043"/>
      <c r="Q5" s="1045"/>
    </row>
    <row r="6" spans="2:17" ht="15.75" customHeight="1" x14ac:dyDescent="0.2">
      <c r="B6" s="118">
        <v>0</v>
      </c>
      <c r="C6" s="119"/>
      <c r="D6" s="119"/>
      <c r="E6" s="119"/>
      <c r="F6" s="119"/>
      <c r="G6" s="119"/>
      <c r="H6" s="119"/>
      <c r="I6" s="119"/>
      <c r="K6" s="120">
        <f>'Detailed Cash Flow'!F48</f>
        <v>-7925</v>
      </c>
      <c r="L6" s="120">
        <f>K6</f>
        <v>-7925</v>
      </c>
      <c r="M6" s="135"/>
      <c r="N6" s="136"/>
      <c r="P6" s="231"/>
      <c r="Q6" s="232"/>
    </row>
    <row r="7" spans="2:17" s="124" customFormat="1" x14ac:dyDescent="0.2">
      <c r="B7" s="121">
        <v>1</v>
      </c>
      <c r="C7" s="120">
        <f>IF($B7&gt;'Financial Inputs'!$G$9,"",LOOKUP($B7,'Detailed Cash Flow'!$F$2:$AJ$2,'Detailed Cash Flow'!$F$11:$AJ$11))</f>
        <v>117362.51229214361</v>
      </c>
      <c r="D7" s="120">
        <f>IF($B7&gt;'Financial Inputs'!$G$9,"",LOOKUP($B7,'Detailed Cash Flow'!$F$2:$AJ$2,'Detailed Cash Flow'!$F$19:$AJ$19))</f>
        <v>14992.338989186594</v>
      </c>
      <c r="E7" s="120">
        <f>IF($B7&gt;'Financial Inputs'!$G$9,"",LOOKUP($B7,'Detailed Cash Flow'!$F$2:$AJ$2,'Detailed Cash Flow'!$F$103:$AJ$103)+LOOKUP($B7,'Detailed Cash Flow'!$F$2:$AJ$2,'Detailed Cash Flow'!$F$28:$AJ$28))</f>
        <v>-378.39228743833195</v>
      </c>
      <c r="F7" s="120">
        <f>IF($B7&gt;'Financial Inputs'!$G$9,"",SUM(C7:E7))</f>
        <v>131976.45899389187</v>
      </c>
      <c r="G7" s="120">
        <f>IF($B7&gt;'Financial Inputs'!$G$9,"",LOOKUP($B7,'Detailed Cash Flow'!$F$2:$AJ$2,'Detailed Cash Flow'!$F$43:$AJ$43))</f>
        <v>130189.13271563457</v>
      </c>
      <c r="H7" s="120">
        <f>IF($B7&gt;'Financial Inputs'!$G$9,"",LOOKUP($B7,'Detailed Cash Flow'!$F$2:$AJ$2,'Detailed Cash Flow'!$F$44:$AJ$44))</f>
        <v>130189.13271563457</v>
      </c>
      <c r="I7" s="120" t="e">
        <f>IF($B7&gt;'Financial Inputs'!$G$9,"",LOOKUP($B7,'Detailed Cash Flow'!$F$2:$AJ$2,'Detailed Cash Flow'!$F$46:$AJ$46)+LOOKUP($B7,'Detailed Cash Flow'!$F$2:$AJ$2,'Detailed Cash Flow'!#REF!))</f>
        <v>#REF!</v>
      </c>
      <c r="J7" s="120" t="e">
        <f>IF($B7&gt;'Financial Inputs'!$G$9,"",LOOKUP($B7,'Detailed Cash Flow'!$F$2:$AJ$2,'Detailed Cash Flow'!$F$47:$AJ$47)+LOOKUP($B7,'Detailed Cash Flow'!$F$2:$AJ$2,'Detailed Cash Flow'!#REF!))</f>
        <v>#REF!</v>
      </c>
      <c r="K7" s="120" t="e">
        <f>IF($B7&gt;'Financial Inputs'!$G$9,"",F7+I7+J7)</f>
        <v>#REF!</v>
      </c>
      <c r="L7" s="120" t="e">
        <f>IF($B7&gt;'Financial Inputs'!$G$9,L6,L6+K7)</f>
        <v>#REF!</v>
      </c>
      <c r="M7" s="122">
        <f>IF($B7&gt;'Financial Inputs'!$G$9,"",LOOKUP($B7,'Detailed Cash Flow'!$F$2:$AJ$2,'Detailed Cash Flow'!$F$49:$AJ$49))</f>
        <v>9.1560450479316629</v>
      </c>
      <c r="N7" s="123">
        <f>IF($B7&gt;'Financial Inputs'!$G$9,"",LOOKUP($B7,'Detailed Cash Flow'!$F$2:$AJ$2,'Detailed Cash Flow'!$F$25:$AJ$25))</f>
        <v>355.24473025700581</v>
      </c>
      <c r="P7" s="233" t="e">
        <f>IF($B7&gt;'Financial Inputs'!$G$9,"",C7+I7+J7)</f>
        <v>#REF!</v>
      </c>
      <c r="Q7" s="234" t="e">
        <f>IF($B7&gt;'Financial Inputs'!$G$9,"",-(D7+E7+#REF!))</f>
        <v>#REF!</v>
      </c>
    </row>
    <row r="8" spans="2:17" s="124" customFormat="1" ht="15.75" customHeight="1" x14ac:dyDescent="0.2">
      <c r="B8" s="125">
        <v>2</v>
      </c>
      <c r="C8" s="120">
        <f>IF($B8&gt;'Financial Inputs'!$G$9,"",LOOKUP($B8,'Detailed Cash Flow'!$F$2:$AJ$2,'Detailed Cash Flow'!$F$11:$AJ$11))</f>
        <v>118213.75528798648</v>
      </c>
      <c r="D8" s="120">
        <f>IF($B8&gt;'Financial Inputs'!$G$9,"",LOOKUP($B8,'Detailed Cash Flow'!$F$2:$AJ$2,'Detailed Cash Flow'!$F$19:$AJ$19))</f>
        <v>15292.185768970325</v>
      </c>
      <c r="E8" s="120">
        <f>IF($B8&gt;'Financial Inputs'!$G$9,"",LOOKUP($B8,'Detailed Cash Flow'!$F$2:$AJ$2,'Detailed Cash Flow'!$F$103:$AJ$103)+LOOKUP($B8,'Detailed Cash Flow'!$F$2:$AJ$2,'Detailed Cash Flow'!$F$28:$AJ$28))</f>
        <v>-377.92633838962672</v>
      </c>
      <c r="F8" s="120">
        <f>IF($B8&gt;'Financial Inputs'!$G$9,"",SUM(C8:E8))</f>
        <v>133128.01471856717</v>
      </c>
      <c r="G8" s="120">
        <f>IF($B8&gt;'Financial Inputs'!$G$9,"",LOOKUP($B8,'Detailed Cash Flow'!$F$2:$AJ$2,'Detailed Cash Flow'!$F$43:$AJ$43))</f>
        <v>130178.55433804929</v>
      </c>
      <c r="H8" s="120">
        <f>IF($B8&gt;'Financial Inputs'!$G$9,"",LOOKUP($B8,'Detailed Cash Flow'!$F$2:$AJ$2,'Detailed Cash Flow'!$F$44:$AJ$44))</f>
        <v>130178.55433804929</v>
      </c>
      <c r="I8" s="120" t="e">
        <f>IF($B8&gt;'Financial Inputs'!$G$9,"",LOOKUP($B8,'Detailed Cash Flow'!$F$2:$AJ$2,'Detailed Cash Flow'!$F$46:$AJ$46)+LOOKUP($B8,'Detailed Cash Flow'!$F$2:$AJ$2,'Detailed Cash Flow'!#REF!))</f>
        <v>#REF!</v>
      </c>
      <c r="J8" s="120" t="e">
        <f>IF($B8&gt;'Financial Inputs'!$G$9,"",LOOKUP($B8,'Detailed Cash Flow'!$F$2:$AJ$2,'Detailed Cash Flow'!$F$47:$AJ$47)+LOOKUP($B8,'Detailed Cash Flow'!$F$2:$AJ$2,'Detailed Cash Flow'!#REF!))</f>
        <v>#REF!</v>
      </c>
      <c r="K8" s="120" t="e">
        <f>IF($B8&gt;'Financial Inputs'!$G$9,"",F8+I8+J8)</f>
        <v>#REF!</v>
      </c>
      <c r="L8" s="120" t="e">
        <f>IF($B8&gt;'Financial Inputs'!$G$9,L7,L7+K8)</f>
        <v>#REF!</v>
      </c>
      <c r="M8" s="122">
        <f>IF($B8&gt;'Financial Inputs'!$G$9,"",LOOKUP($B8,'Detailed Cash Flow'!$F$2:$AJ$2,'Detailed Cash Flow'!$F$49:$AJ$49))</f>
        <v>10.085367397993567</v>
      </c>
      <c r="N8" s="123">
        <f>IF($B8&gt;'Financial Inputs'!$G$9,"",LOOKUP($B8,'Detailed Cash Flow'!$F$2:$AJ$2,'Detailed Cash Flow'!$F$25:$AJ$25))</f>
        <v>358.33429269378337</v>
      </c>
      <c r="P8" s="233" t="e">
        <f>IF($B8&gt;'Financial Inputs'!$G$9,"",C8+I8+J8)</f>
        <v>#REF!</v>
      </c>
      <c r="Q8" s="234" t="e">
        <f>IF($B8&gt;'Financial Inputs'!$G$9,"",-(D8+E8+#REF!))</f>
        <v>#REF!</v>
      </c>
    </row>
    <row r="9" spans="2:17" x14ac:dyDescent="0.2">
      <c r="B9" s="121">
        <v>3</v>
      </c>
      <c r="C9" s="120">
        <f>IF($B9&gt;'Financial Inputs'!$G$9,"",LOOKUP($B9,'Detailed Cash Flow'!$F$2:$AJ$2,'Detailed Cash Flow'!$F$11:$AJ$11))</f>
        <v>119082.02314374622</v>
      </c>
      <c r="D9" s="120">
        <f>IF($B9&gt;'Financial Inputs'!$G$9,"",LOOKUP($B9,'Detailed Cash Flow'!$F$2:$AJ$2,'Detailed Cash Flow'!$F$19:$AJ$19))</f>
        <v>15598.029484349732</v>
      </c>
      <c r="E9" s="120">
        <f>IF($B9&gt;'Financial Inputs'!$G$9,"",LOOKUP($B9,'Detailed Cash Flow'!$F$2:$AJ$2,'Detailed Cash Flow'!$F$103:$AJ$103)+LOOKUP($B9,'Detailed Cash Flow'!$F$2:$AJ$2,'Detailed Cash Flow'!$F$28:$AJ$28))</f>
        <v>-377.42311341702504</v>
      </c>
      <c r="F9" s="120">
        <f>IF($B9&gt;'Financial Inputs'!$G$9,"",SUM(C9:E9))</f>
        <v>134302.62951467893</v>
      </c>
      <c r="G9" s="120">
        <f>IF($B9&gt;'Financial Inputs'!$G$9,"",LOOKUP($B9,'Detailed Cash Flow'!$F$2:$AJ$2,'Detailed Cash Flow'!$F$43:$AJ$43))</f>
        <v>132622.41550371962</v>
      </c>
      <c r="H9" s="120">
        <f>IF($B9&gt;'Financial Inputs'!$G$9,"",LOOKUP($B9,'Detailed Cash Flow'!$F$2:$AJ$2,'Detailed Cash Flow'!$F$44:$AJ$44))</f>
        <v>132622.41550371962</v>
      </c>
      <c r="I9" s="120" t="e">
        <f>IF($B9&gt;'Financial Inputs'!$G$9,"",LOOKUP($B9,'Detailed Cash Flow'!$F$2:$AJ$2,'Detailed Cash Flow'!$F$46:$AJ$46)+LOOKUP($B9,'Detailed Cash Flow'!$F$2:$AJ$2,'Detailed Cash Flow'!#REF!))</f>
        <v>#REF!</v>
      </c>
      <c r="J9" s="120" t="e">
        <f>IF($B9&gt;'Financial Inputs'!$G$9,"",LOOKUP($B9,'Detailed Cash Flow'!$F$2:$AJ$2,'Detailed Cash Flow'!$F$47:$AJ$47)+LOOKUP($B9,'Detailed Cash Flow'!$F$2:$AJ$2,'Detailed Cash Flow'!#REF!))</f>
        <v>#REF!</v>
      </c>
      <c r="K9" s="120" t="e">
        <f>IF($B9&gt;'Financial Inputs'!$G$9,"",F9+I9+J9)</f>
        <v>#REF!</v>
      </c>
      <c r="L9" s="120" t="e">
        <f>IF($B9&gt;'Financial Inputs'!$G$9,L8,L8+K9)</f>
        <v>#REF!</v>
      </c>
      <c r="M9" s="122">
        <f>IF($B9&gt;'Financial Inputs'!$G$9,"",LOOKUP($B9,'Detailed Cash Flow'!$F$2:$AJ$2,'Detailed Cash Flow'!$F$49:$AJ$49))</f>
        <v>10.161894271294214</v>
      </c>
      <c r="N9" s="123">
        <f>IF($B9&gt;'Financial Inputs'!$G$9,"",LOOKUP($B9,'Detailed Cash Flow'!$F$2:$AJ$2,'Detailed Cash Flow'!$F$25:$AJ$25))</f>
        <v>361.48564637929644</v>
      </c>
      <c r="P9" s="233" t="e">
        <f>IF($B9&gt;'Financial Inputs'!$G$9,"",C9+I9+J9)</f>
        <v>#REF!</v>
      </c>
      <c r="Q9" s="234" t="e">
        <f>IF($B9&gt;'Financial Inputs'!$G$9,"",-(D9+E9+#REF!))</f>
        <v>#REF!</v>
      </c>
    </row>
    <row r="10" spans="2:17" x14ac:dyDescent="0.2">
      <c r="B10" s="121">
        <v>4</v>
      </c>
      <c r="C10" s="120">
        <f>IF($B10&gt;'Financial Inputs'!$G$9,"",LOOKUP($B10,'Detailed Cash Flow'!$F$2:$AJ$2,'Detailed Cash Flow'!$F$11:$AJ$11))</f>
        <v>119967.65635662114</v>
      </c>
      <c r="D10" s="120">
        <f>IF($B10&gt;'Financial Inputs'!$G$9,"",LOOKUP($B10,'Detailed Cash Flow'!$F$2:$AJ$2,'Detailed Cash Flow'!$F$19:$AJ$19))</f>
        <v>15909.990074036725</v>
      </c>
      <c r="E10" s="120">
        <f>IF($B10&gt;'Financial Inputs'!$G$9,"",LOOKUP($B10,'Detailed Cash Flow'!$F$2:$AJ$2,'Detailed Cash Flow'!$F$103:$AJ$103)+LOOKUP($B10,'Detailed Cash Flow'!$F$2:$AJ$2,'Detailed Cash Flow'!$F$28:$AJ$28))</f>
        <v>-376.87963044661524</v>
      </c>
      <c r="F10" s="120">
        <f>IF($B10&gt;'Financial Inputs'!$G$9,"",SUM(C10:E10))</f>
        <v>135500.76680021125</v>
      </c>
      <c r="G10" s="120">
        <f>IF($B10&gt;'Financial Inputs'!$G$9,"",LOOKUP($B10,'Detailed Cash Flow'!$F$2:$AJ$2,'Detailed Cash Flow'!$F$43:$AJ$43))</f>
        <v>134589.25758837519</v>
      </c>
      <c r="H10" s="120">
        <f>IF($B10&gt;'Financial Inputs'!$G$9,"",LOOKUP($B10,'Detailed Cash Flow'!$F$2:$AJ$2,'Detailed Cash Flow'!$F$44:$AJ$44))</f>
        <v>134589.25758837519</v>
      </c>
      <c r="I10" s="120" t="e">
        <f>IF($B10&gt;'Financial Inputs'!$G$9,"",LOOKUP($B10,'Detailed Cash Flow'!$F$2:$AJ$2,'Detailed Cash Flow'!$F$46:$AJ$46)+LOOKUP($B10,'Detailed Cash Flow'!$F$2:$AJ$2,'Detailed Cash Flow'!#REF!))</f>
        <v>#REF!</v>
      </c>
      <c r="J10" s="120" t="e">
        <f>IF($B10&gt;'Financial Inputs'!$G$9,"",LOOKUP($B10,'Detailed Cash Flow'!$F$2:$AJ$2,'Detailed Cash Flow'!$F$47:$AJ$47)+LOOKUP($B10,'Detailed Cash Flow'!$F$2:$AJ$2,'Detailed Cash Flow'!#REF!))</f>
        <v>#REF!</v>
      </c>
      <c r="K10" s="120" t="e">
        <f>IF($B10&gt;'Financial Inputs'!$G$9,"",F10+I10+J10)</f>
        <v>#REF!</v>
      </c>
      <c r="L10" s="120" t="e">
        <f>IF($B10&gt;'Financial Inputs'!$G$9,L9,L9+K10)</f>
        <v>#REF!</v>
      </c>
      <c r="M10" s="122">
        <f>IF($B10&gt;'Financial Inputs'!$G$9,"",LOOKUP($B10,'Detailed Cash Flow'!$F$2:$AJ$2,'Detailed Cash Flow'!$F$49:$AJ$49))</f>
        <v>10.168683873307737</v>
      </c>
      <c r="N10" s="123">
        <f>IF($B10&gt;'Financial Inputs'!$G$9,"",LOOKUP($B10,'Detailed Cash Flow'!$F$2:$AJ$2,'Detailed Cash Flow'!$F$25:$AJ$25))</f>
        <v>364.70002713851972</v>
      </c>
      <c r="P10" s="233" t="e">
        <f>IF($B10&gt;'Financial Inputs'!$G$9,"",C10+I10+J10)</f>
        <v>#REF!</v>
      </c>
      <c r="Q10" s="234" t="e">
        <f>IF($B10&gt;'Financial Inputs'!$G$9,"",-(D10+E10+#REF!))</f>
        <v>#REF!</v>
      </c>
    </row>
    <row r="11" spans="2:17" x14ac:dyDescent="0.2">
      <c r="B11" s="125">
        <v>5</v>
      </c>
      <c r="C11" s="120">
        <f>IF($B11&gt;'Financial Inputs'!$G$9,"",LOOKUP($B11,'Detailed Cash Flow'!$F$2:$AJ$2,'Detailed Cash Flow'!$F$11:$AJ$11))</f>
        <v>120871.00223375356</v>
      </c>
      <c r="D11" s="120">
        <f>IF($B11&gt;'Financial Inputs'!$G$9,"",LOOKUP($B11,'Detailed Cash Flow'!$F$2:$AJ$2,'Detailed Cash Flow'!$F$19:$AJ$19))</f>
        <v>16228.189875517459</v>
      </c>
      <c r="E11" s="120">
        <f>IF($B11&gt;'Financial Inputs'!$G$9,"",LOOKUP($B11,'Detailed Cash Flow'!$F$2:$AJ$2,'Detailed Cash Flow'!$F$103:$AJ$103)+LOOKUP($B11,'Detailed Cash Flow'!$F$2:$AJ$2,'Detailed Cash Flow'!$F$28:$AJ$28))</f>
        <v>-376.29266883857264</v>
      </c>
      <c r="F11" s="120">
        <f>IF($B11&gt;'Financial Inputs'!$G$9,"",SUM(C11:E11))</f>
        <v>136722.89944043243</v>
      </c>
      <c r="G11" s="120">
        <f>IF($B11&gt;'Financial Inputs'!$G$9,"",LOOKUP($B11,'Detailed Cash Flow'!$F$2:$AJ$2,'Detailed Cash Flow'!$F$43:$AJ$43))</f>
        <v>135828.78168364949</v>
      </c>
      <c r="H11" s="120">
        <f>IF($B11&gt;'Financial Inputs'!$G$9,"",LOOKUP($B11,'Detailed Cash Flow'!$F$2:$AJ$2,'Detailed Cash Flow'!$F$44:$AJ$44))</f>
        <v>135828.78168364949</v>
      </c>
      <c r="I11" s="120" t="e">
        <f>IF($B11&gt;'Financial Inputs'!$G$9,"",LOOKUP($B11,'Detailed Cash Flow'!$F$2:$AJ$2,'Detailed Cash Flow'!$F$46:$AJ$46)+LOOKUP($B11,'Detailed Cash Flow'!$F$2:$AJ$2,'Detailed Cash Flow'!#REF!))</f>
        <v>#REF!</v>
      </c>
      <c r="J11" s="120" t="e">
        <f>IF($B11&gt;'Financial Inputs'!$G$9,"",LOOKUP($B11,'Detailed Cash Flow'!$F$2:$AJ$2,'Detailed Cash Flow'!$F$47:$AJ$47)+LOOKUP($B11,'Detailed Cash Flow'!$F$2:$AJ$2,'Detailed Cash Flow'!#REF!))</f>
        <v>#REF!</v>
      </c>
      <c r="K11" s="120" t="e">
        <f>IF($B11&gt;'Financial Inputs'!$G$9,"",F11+I11+J11)</f>
        <v>#REF!</v>
      </c>
      <c r="L11" s="120" t="e">
        <f>IF($B11&gt;'Financial Inputs'!$G$9,L10,L10+K11)</f>
        <v>#REF!</v>
      </c>
      <c r="M11" s="122">
        <f>IF($B11&gt;'Financial Inputs'!$G$9,"",LOOKUP($B11,'Detailed Cash Flow'!$F$2:$AJ$2,'Detailed Cash Flow'!$F$49:$AJ$49))</f>
        <v>10.169295983817891</v>
      </c>
      <c r="N11" s="123">
        <f>IF($B11&gt;'Financial Inputs'!$G$9,"",LOOKUP($B11,'Detailed Cash Flow'!$F$2:$AJ$2,'Detailed Cash Flow'!$F$25:$AJ$25))</f>
        <v>367.97869551292746</v>
      </c>
      <c r="P11" s="233" t="e">
        <f>IF($B11&gt;'Financial Inputs'!$G$9,"",C11+I11+J11)</f>
        <v>#REF!</v>
      </c>
      <c r="Q11" s="234" t="e">
        <f>IF($B11&gt;'Financial Inputs'!$G$9,"",-(D11+E11+#REF!))</f>
        <v>#REF!</v>
      </c>
    </row>
    <row r="12" spans="2:17" x14ac:dyDescent="0.2">
      <c r="B12" s="121">
        <v>6</v>
      </c>
      <c r="C12" s="120">
        <f>IF($B12&gt;'Financial Inputs'!$G$9,"",LOOKUP($B12,'Detailed Cash Flow'!$F$2:$AJ$2,'Detailed Cash Flow'!$F$11:$AJ$11))</f>
        <v>121792.41502842863</v>
      </c>
      <c r="D12" s="120">
        <f>IF($B12&gt;'Financial Inputs'!$G$9,"",LOOKUP($B12,'Detailed Cash Flow'!$F$2:$AJ$2,'Detailed Cash Flow'!$F$19:$AJ$19))</f>
        <v>16552.753673027808</v>
      </c>
      <c r="E12" s="120">
        <f>IF($B12&gt;'Financial Inputs'!$G$9,"",LOOKUP($B12,'Detailed Cash Flow'!$F$2:$AJ$2,'Detailed Cash Flow'!$F$103:$AJ$103)+LOOKUP($B12,'Detailed Cash Flow'!$F$2:$AJ$2,'Detailed Cash Flow'!$F$28:$AJ$28))</f>
        <v>-375.65875030188658</v>
      </c>
      <c r="F12" s="120">
        <f>IF($B12&gt;'Financial Inputs'!$G$9,"",SUM(C12:E12))</f>
        <v>137969.50995115456</v>
      </c>
      <c r="G12" s="120">
        <f>IF($B12&gt;'Financial Inputs'!$G$9,"",LOOKUP($B12,'Detailed Cash Flow'!$F$2:$AJ$2,'Detailed Cash Flow'!$F$43:$AJ$43))</f>
        <v>137658.62616582896</v>
      </c>
      <c r="H12" s="120">
        <f>IF($B12&gt;'Financial Inputs'!$G$9,"",LOOKUP($B12,'Detailed Cash Flow'!$F$2:$AJ$2,'Detailed Cash Flow'!$F$44:$AJ$44))</f>
        <v>137658.62616582896</v>
      </c>
      <c r="I12" s="120" t="e">
        <f>IF($B12&gt;'Financial Inputs'!$G$9,"",LOOKUP($B12,'Detailed Cash Flow'!$F$2:$AJ$2,'Detailed Cash Flow'!$F$46:$AJ$46)+LOOKUP($B12,'Detailed Cash Flow'!$F$2:$AJ$2,'Detailed Cash Flow'!#REF!))</f>
        <v>#REF!</v>
      </c>
      <c r="J12" s="120" t="e">
        <f>IF($B12&gt;'Financial Inputs'!$G$9,"",LOOKUP($B12,'Detailed Cash Flow'!$F$2:$AJ$2,'Detailed Cash Flow'!$F$47:$AJ$47)+LOOKUP($B12,'Detailed Cash Flow'!$F$2:$AJ$2,'Detailed Cash Flow'!#REF!))</f>
        <v>#REF!</v>
      </c>
      <c r="K12" s="120" t="e">
        <f>IF($B12&gt;'Financial Inputs'!$G$9,"",F12+I12+J12)</f>
        <v>#REF!</v>
      </c>
      <c r="L12" s="120" t="e">
        <f>IF($B12&gt;'Financial Inputs'!$G$9,L11,L11+K12)</f>
        <v>#REF!</v>
      </c>
      <c r="M12" s="122">
        <f>IF($B12&gt;'Financial Inputs'!$G$9,"",LOOKUP($B12,'Detailed Cash Flow'!$F$2:$AJ$2,'Detailed Cash Flow'!$F$49:$AJ$49))</f>
        <v>10.169351118926857</v>
      </c>
      <c r="N12" s="123">
        <f>IF($B12&gt;'Financial Inputs'!$G$9,"",LOOKUP($B12,'Detailed Cash Flow'!$F$2:$AJ$2,'Detailed Cash Flow'!$F$25:$AJ$25))</f>
        <v>371.3229372548235</v>
      </c>
      <c r="P12" s="233" t="e">
        <f>IF($B12&gt;'Financial Inputs'!$G$9,"",C12+I12+J12)</f>
        <v>#REF!</v>
      </c>
      <c r="Q12" s="234" t="e">
        <f>IF($B12&gt;'Financial Inputs'!$G$9,"",-(D12+E12+#REF!))</f>
        <v>#REF!</v>
      </c>
    </row>
    <row r="13" spans="2:17" x14ac:dyDescent="0.2">
      <c r="B13" s="121">
        <v>7</v>
      </c>
      <c r="C13" s="120">
        <f>IF($B13&gt;'Financial Inputs'!$G$9,"",LOOKUP($B13,'Detailed Cash Flow'!$F$2:$AJ$2,'Detailed Cash Flow'!$F$11:$AJ$11))</f>
        <v>122732.25607899719</v>
      </c>
      <c r="D13" s="120">
        <f>IF($B13&gt;'Financial Inputs'!$G$9,"",LOOKUP($B13,'Detailed Cash Flow'!$F$2:$AJ$2,'Detailed Cash Flow'!$F$19:$AJ$19))</f>
        <v>16883.808746488365</v>
      </c>
      <c r="E13" s="120">
        <f>IF($B13&gt;'Financial Inputs'!$G$9,"",LOOKUP($B13,'Detailed Cash Flow'!$F$2:$AJ$2,'Detailed Cash Flow'!$F$103:$AJ$103)+LOOKUP($B13,'Detailed Cash Flow'!$F$2:$AJ$2,'Detailed Cash Flow'!$F$28:$AJ$28))</f>
        <v>-374.97411828226575</v>
      </c>
      <c r="F13" s="120">
        <f>IF($B13&gt;'Financial Inputs'!$G$9,"",SUM(C13:E13))</f>
        <v>139241.09070720329</v>
      </c>
      <c r="G13" s="120">
        <f>IF($B13&gt;'Financial Inputs'!$G$9,"",LOOKUP($B13,'Detailed Cash Flow'!$F$2:$AJ$2,'Detailed Cash Flow'!$F$43:$AJ$43))</f>
        <v>139514.94351505165</v>
      </c>
      <c r="H13" s="120">
        <f>IF($B13&gt;'Financial Inputs'!$G$9,"",LOOKUP($B13,'Detailed Cash Flow'!$F$2:$AJ$2,'Detailed Cash Flow'!$F$44:$AJ$44))</f>
        <v>139514.94351505165</v>
      </c>
      <c r="I13" s="120" t="e">
        <f>IF($B13&gt;'Financial Inputs'!$G$9,"",LOOKUP($B13,'Detailed Cash Flow'!$F$2:$AJ$2,'Detailed Cash Flow'!$F$46:$AJ$46)+LOOKUP($B13,'Detailed Cash Flow'!$F$2:$AJ$2,'Detailed Cash Flow'!#REF!))</f>
        <v>#REF!</v>
      </c>
      <c r="J13" s="120" t="e">
        <f>IF($B13&gt;'Financial Inputs'!$G$9,"",LOOKUP($B13,'Detailed Cash Flow'!$F$2:$AJ$2,'Detailed Cash Flow'!$F$47:$AJ$47)+LOOKUP($B13,'Detailed Cash Flow'!$F$2:$AJ$2,'Detailed Cash Flow'!#REF!))</f>
        <v>#REF!</v>
      </c>
      <c r="K13" s="120" t="e">
        <f>IF($B13&gt;'Financial Inputs'!$G$9,"",F13+I13+J13)</f>
        <v>#REF!</v>
      </c>
      <c r="L13" s="120" t="e">
        <f>IF($B13&gt;'Financial Inputs'!$G$9,L12,L12+K13)</f>
        <v>#REF!</v>
      </c>
      <c r="M13" s="122">
        <f>IF($B13&gt;'Financial Inputs'!$G$9,"",LOOKUP($B13,'Detailed Cash Flow'!$F$2:$AJ$2,'Detailed Cash Flow'!$F$49:$AJ$49))</f>
        <v>10.169356086838436</v>
      </c>
      <c r="N13" s="123">
        <f>IF($B13&gt;'Financial Inputs'!$G$9,"",LOOKUP($B13,'Detailed Cash Flow'!$F$2:$AJ$2,'Detailed Cash Flow'!$F$25:$AJ$25))</f>
        <v>374.73406383155725</v>
      </c>
      <c r="P13" s="233" t="e">
        <f>IF($B13&gt;'Financial Inputs'!$G$9,"",C13+I13+J13)</f>
        <v>#REF!</v>
      </c>
      <c r="Q13" s="234" t="e">
        <f>IF($B13&gt;'Financial Inputs'!$G$9,"",-(D13+E13+#REF!))</f>
        <v>#REF!</v>
      </c>
    </row>
    <row r="14" spans="2:17" x14ac:dyDescent="0.2">
      <c r="B14" s="125">
        <v>8</v>
      </c>
      <c r="C14" s="120">
        <f>IF($B14&gt;'Financial Inputs'!$G$9,"",LOOKUP($B14,'Detailed Cash Flow'!$F$2:$AJ$2,'Detailed Cash Flow'!$F$11:$AJ$11))</f>
        <v>123690.89395057716</v>
      </c>
      <c r="D14" s="120">
        <f>IF($B14&gt;'Financial Inputs'!$G$9,"",LOOKUP($B14,'Detailed Cash Flow'!$F$2:$AJ$2,'Detailed Cash Flow'!$F$19:$AJ$19))</f>
        <v>17221.484921418134</v>
      </c>
      <c r="E14" s="120">
        <f>IF($B14&gt;'Financial Inputs'!$G$9,"",LOOKUP($B14,'Detailed Cash Flow'!$F$2:$AJ$2,'Detailed Cash Flow'!$F$103:$AJ$103)+LOOKUP($B14,'Detailed Cash Flow'!$F$2:$AJ$2,'Detailed Cash Flow'!$F$28:$AJ$28))</f>
        <v>-374.23471570107517</v>
      </c>
      <c r="F14" s="120">
        <f>IF($B14&gt;'Financial Inputs'!$G$9,"",SUM(C14:E14))</f>
        <v>140538.14415629421</v>
      </c>
      <c r="G14" s="120">
        <f>IF($B14&gt;'Financial Inputs'!$G$9,"",LOOKUP($B14,'Detailed Cash Flow'!$F$2:$AJ$2,'Detailed Cash Flow'!$F$43:$AJ$43))</f>
        <v>140833.90518877044</v>
      </c>
      <c r="H14" s="120">
        <f>IF($B14&gt;'Financial Inputs'!$G$9,"",LOOKUP($B14,'Detailed Cash Flow'!$F$2:$AJ$2,'Detailed Cash Flow'!$F$44:$AJ$44))</f>
        <v>140833.90518877044</v>
      </c>
      <c r="I14" s="120" t="e">
        <f>IF($B14&gt;'Financial Inputs'!$G$9,"",LOOKUP($B14,'Detailed Cash Flow'!$F$2:$AJ$2,'Detailed Cash Flow'!$F$46:$AJ$46)+LOOKUP($B14,'Detailed Cash Flow'!$F$2:$AJ$2,'Detailed Cash Flow'!#REF!))</f>
        <v>#REF!</v>
      </c>
      <c r="J14" s="120" t="e">
        <f>IF($B14&gt;'Financial Inputs'!$G$9,"",LOOKUP($B14,'Detailed Cash Flow'!$F$2:$AJ$2,'Detailed Cash Flow'!$F$47:$AJ$47)+LOOKUP($B14,'Detailed Cash Flow'!$F$2:$AJ$2,'Detailed Cash Flow'!#REF!))</f>
        <v>#REF!</v>
      </c>
      <c r="K14" s="120" t="e">
        <f>IF($B14&gt;'Financial Inputs'!$G$9,"",F14+I14+J14)</f>
        <v>#REF!</v>
      </c>
      <c r="L14" s="120" t="e">
        <f>IF($B14&gt;'Financial Inputs'!$G$9,L13,L13+K14)</f>
        <v>#REF!</v>
      </c>
      <c r="M14" s="122">
        <f>IF($B14&gt;'Financial Inputs'!$G$9,"",LOOKUP($B14,'Detailed Cash Flow'!$F$2:$AJ$2,'Detailed Cash Flow'!$F$49:$AJ$49))</f>
        <v>10.169356535719551</v>
      </c>
      <c r="N14" s="123">
        <f>IF($B14&gt;'Financial Inputs'!$G$9,"",LOOKUP($B14,'Detailed Cash Flow'!$F$2:$AJ$2,'Detailed Cash Flow'!$F$25:$AJ$25))</f>
        <v>378.21341293982584</v>
      </c>
      <c r="P14" s="233" t="e">
        <f>IF($B14&gt;'Financial Inputs'!$G$9,"",C14+I14+J14)</f>
        <v>#REF!</v>
      </c>
      <c r="Q14" s="234" t="e">
        <f>IF($B14&gt;'Financial Inputs'!$G$9,"",-(D14+E14+#REF!))</f>
        <v>#REF!</v>
      </c>
    </row>
    <row r="15" spans="2:17" x14ac:dyDescent="0.2">
      <c r="B15" s="121">
        <v>9</v>
      </c>
      <c r="C15" s="120">
        <f>IF($B15&gt;'Financial Inputs'!$G$9,"",LOOKUP($B15,'Detailed Cash Flow'!$F$2:$AJ$2,'Detailed Cash Flow'!$F$11:$AJ$11))</f>
        <v>124668.7045795887</v>
      </c>
      <c r="D15" s="120">
        <f>IF($B15&gt;'Financial Inputs'!$G$9,"",LOOKUP($B15,'Detailed Cash Flow'!$F$2:$AJ$2,'Detailed Cash Flow'!$F$19:$AJ$19))</f>
        <v>17565.914619846499</v>
      </c>
      <c r="E15" s="120">
        <f>IF($B15&gt;'Financial Inputs'!$G$9,"",LOOKUP($B15,'Detailed Cash Flow'!$F$2:$AJ$2,'Detailed Cash Flow'!$F$103:$AJ$103)+LOOKUP($B15,'Detailed Cash Flow'!$F$2:$AJ$2,'Detailed Cash Flow'!$F$28:$AJ$28))</f>
        <v>-373.43616091338936</v>
      </c>
      <c r="F15" s="120">
        <f>IF($B15&gt;'Financial Inputs'!$G$9,"",SUM(C15:E15))</f>
        <v>141861.18303852182</v>
      </c>
      <c r="G15" s="120">
        <f>IF($B15&gt;'Financial Inputs'!$G$9,"",LOOKUP($B15,'Detailed Cash Flow'!$F$2:$AJ$2,'Detailed Cash Flow'!$F$43:$AJ$43))</f>
        <v>142180.60495359611</v>
      </c>
      <c r="H15" s="120">
        <f>IF($B15&gt;'Financial Inputs'!$G$9,"",LOOKUP($B15,'Detailed Cash Flow'!$F$2:$AJ$2,'Detailed Cash Flow'!$F$44:$AJ$44))</f>
        <v>142180.60495359611</v>
      </c>
      <c r="I15" s="120" t="e">
        <f>IF($B15&gt;'Financial Inputs'!$G$9,"",LOOKUP($B15,'Detailed Cash Flow'!$F$2:$AJ$2,'Detailed Cash Flow'!$F$46:$AJ$46)+LOOKUP($B15,'Detailed Cash Flow'!$F$2:$AJ$2,'Detailed Cash Flow'!#REF!))</f>
        <v>#REF!</v>
      </c>
      <c r="J15" s="120" t="e">
        <f>IF($B15&gt;'Financial Inputs'!$G$9,"",LOOKUP($B15,'Detailed Cash Flow'!$F$2:$AJ$2,'Detailed Cash Flow'!$F$47:$AJ$47)+LOOKUP($B15,'Detailed Cash Flow'!$F$2:$AJ$2,'Detailed Cash Flow'!#REF!))</f>
        <v>#REF!</v>
      </c>
      <c r="K15" s="120" t="e">
        <f>IF($B15&gt;'Financial Inputs'!$G$9,"",F15+I15+J15)</f>
        <v>#REF!</v>
      </c>
      <c r="L15" s="120" t="e">
        <f>IF($B15&gt;'Financial Inputs'!$G$9,L14,L14+K15)</f>
        <v>#REF!</v>
      </c>
      <c r="M15" s="122">
        <f>IF($B15&gt;'Financial Inputs'!$G$9,"",LOOKUP($B15,'Detailed Cash Flow'!$F$2:$AJ$2,'Detailed Cash Flow'!$F$49:$AJ$49))</f>
        <v>10.169356576271023</v>
      </c>
      <c r="N15" s="123">
        <f>IF($B15&gt;'Financial Inputs'!$G$9,"",LOOKUP($B15,'Detailed Cash Flow'!$F$2:$AJ$2,'Detailed Cash Flow'!$F$25:$AJ$25))</f>
        <v>381.76234903025977</v>
      </c>
      <c r="P15" s="233" t="e">
        <f>IF($B15&gt;'Financial Inputs'!$G$9,"",C15+I15+J15)</f>
        <v>#REF!</v>
      </c>
      <c r="Q15" s="234" t="e">
        <f>IF($B15&gt;'Financial Inputs'!$G$9,"",-(D15+E15+#REF!))</f>
        <v>#REF!</v>
      </c>
    </row>
    <row r="16" spans="2:17" x14ac:dyDescent="0.2">
      <c r="B16" s="121">
        <v>10</v>
      </c>
      <c r="C16" s="120">
        <f>IF($B16&gt;'Financial Inputs'!$G$9,"",LOOKUP($B16,'Detailed Cash Flow'!$F$2:$AJ$2,'Detailed Cash Flow'!$F$11:$AJ$11))</f>
        <v>125666.07142118047</v>
      </c>
      <c r="D16" s="120">
        <f>IF($B16&gt;'Financial Inputs'!$G$9,"",LOOKUP($B16,'Detailed Cash Flow'!$F$2:$AJ$2,'Detailed Cash Flow'!$F$19:$AJ$19))</f>
        <v>17917.232912243428</v>
      </c>
      <c r="E16" s="120">
        <f>IF($B16&gt;'Financial Inputs'!$G$9,"",LOOKUP($B16,'Detailed Cash Flow'!$F$2:$AJ$2,'Detailed Cash Flow'!$F$103:$AJ$103)+LOOKUP($B16,'Detailed Cash Flow'!$F$2:$AJ$2,'Detailed Cash Flow'!$F$28:$AJ$28))</f>
        <v>-372.57372174268869</v>
      </c>
      <c r="F16" s="120">
        <f>IF($B16&gt;'Financial Inputs'!$G$9,"",SUM(C16:E16))</f>
        <v>143210.73061168121</v>
      </c>
      <c r="G16" s="120">
        <f>IF($B16&gt;'Financial Inputs'!$G$9,"",LOOKUP($B16,'Detailed Cash Flow'!$F$2:$AJ$2,'Detailed Cash Flow'!$F$43:$AJ$43))</f>
        <v>143555.70627996148</v>
      </c>
      <c r="H16" s="120">
        <f>IF($B16&gt;'Financial Inputs'!$G$9,"",LOOKUP($B16,'Detailed Cash Flow'!$F$2:$AJ$2,'Detailed Cash Flow'!$F$44:$AJ$44))</f>
        <v>143555.70627996148</v>
      </c>
      <c r="I16" s="120" t="e">
        <f>IF($B16&gt;'Financial Inputs'!$G$9,"",LOOKUP($B16,'Detailed Cash Flow'!$F$2:$AJ$2,'Detailed Cash Flow'!$F$46:$AJ$46)+LOOKUP($B16,'Detailed Cash Flow'!$F$2:$AJ$2,'Detailed Cash Flow'!#REF!))</f>
        <v>#REF!</v>
      </c>
      <c r="J16" s="120" t="e">
        <f>IF($B16&gt;'Financial Inputs'!$G$9,"",LOOKUP($B16,'Detailed Cash Flow'!$F$2:$AJ$2,'Detailed Cash Flow'!$F$47:$AJ$47)+LOOKUP($B16,'Detailed Cash Flow'!$F$2:$AJ$2,'Detailed Cash Flow'!#REF!))</f>
        <v>#REF!</v>
      </c>
      <c r="K16" s="120" t="e">
        <f>IF($B16&gt;'Financial Inputs'!$G$9,"",F16+I16+J16)</f>
        <v>#REF!</v>
      </c>
      <c r="L16" s="120" t="e">
        <f>IF($B16&gt;'Financial Inputs'!$G$9,L15,L15+K16)</f>
        <v>#REF!</v>
      </c>
      <c r="M16" s="122">
        <f>IF($B16&gt;'Financial Inputs'!$G$9,"",LOOKUP($B16,'Detailed Cash Flow'!$F$2:$AJ$2,'Detailed Cash Flow'!$F$49:$AJ$49))</f>
        <v>10.169356579838338</v>
      </c>
      <c r="N16" s="123">
        <f>IF($B16&gt;'Financial Inputs'!$G$9,"",LOOKUP($B16,'Detailed Cash Flow'!$F$2:$AJ$2,'Detailed Cash Flow'!$F$25:$AJ$25))</f>
        <v>385.38226384250237</v>
      </c>
      <c r="P16" s="233" t="e">
        <f>IF($B16&gt;'Financial Inputs'!$G$9,"",C16+I16+J16)</f>
        <v>#REF!</v>
      </c>
      <c r="Q16" s="234" t="e">
        <f>IF($B16&gt;'Financial Inputs'!$G$9,"",-(D16+E16+#REF!))</f>
        <v>#REF!</v>
      </c>
    </row>
    <row r="17" spans="2:17" x14ac:dyDescent="0.2">
      <c r="B17" s="125">
        <v>11</v>
      </c>
      <c r="C17" s="120">
        <f>IF($B17&gt;'Financial Inputs'!$G$9,"",LOOKUP($B17,'Detailed Cash Flow'!$F$2:$AJ$2,'Detailed Cash Flow'!$F$11:$AJ$11))</f>
        <v>126683.38559960409</v>
      </c>
      <c r="D17" s="120">
        <f>IF($B17&gt;'Financial Inputs'!$G$9,"",LOOKUP($B17,'Detailed Cash Flow'!$F$2:$AJ$2,'Detailed Cash Flow'!$F$19:$AJ$19))</f>
        <v>18275.577570488298</v>
      </c>
      <c r="E17" s="120">
        <f>IF($B17&gt;'Financial Inputs'!$G$9,"",LOOKUP($B17,'Detailed Cash Flow'!$F$2:$AJ$2,'Detailed Cash Flow'!$F$103:$AJ$103)+LOOKUP($B17,'Detailed Cash Flow'!$F$2:$AJ$2,'Detailed Cash Flow'!$F$28:$AJ$28))</f>
        <v>0</v>
      </c>
      <c r="F17" s="120">
        <f>IF($B17&gt;'Financial Inputs'!$G$9,"",SUM(C17:E17))</f>
        <v>144958.96317009238</v>
      </c>
      <c r="G17" s="120">
        <f>IF($B17&gt;'Financial Inputs'!$G$9,"",LOOKUP($B17,'Detailed Cash Flow'!$F$2:$AJ$2,'Detailed Cash Flow'!$F$43:$AJ$43))</f>
        <v>144958.96317009238</v>
      </c>
      <c r="H17" s="120">
        <f>IF($B17&gt;'Financial Inputs'!$G$9,"",LOOKUP($B17,'Detailed Cash Flow'!$F$2:$AJ$2,'Detailed Cash Flow'!$F$44:$AJ$44))</f>
        <v>144958.96317009238</v>
      </c>
      <c r="I17" s="120" t="e">
        <f>IF($B17&gt;'Financial Inputs'!$G$9,"",LOOKUP($B17,'Detailed Cash Flow'!$F$2:$AJ$2,'Detailed Cash Flow'!$F$46:$AJ$46)+LOOKUP($B17,'Detailed Cash Flow'!$F$2:$AJ$2,'Detailed Cash Flow'!#REF!))</f>
        <v>#REF!</v>
      </c>
      <c r="J17" s="120" t="e">
        <f>IF($B17&gt;'Financial Inputs'!$G$9,"",LOOKUP($B17,'Detailed Cash Flow'!$F$2:$AJ$2,'Detailed Cash Flow'!$F$47:$AJ$47)+LOOKUP($B17,'Detailed Cash Flow'!$F$2:$AJ$2,'Detailed Cash Flow'!#REF!))</f>
        <v>#REF!</v>
      </c>
      <c r="K17" s="120" t="e">
        <f>IF($B17&gt;'Financial Inputs'!$G$9,"",F17+I17+J17)</f>
        <v>#REF!</v>
      </c>
      <c r="L17" s="120" t="e">
        <f>IF($B17&gt;'Financial Inputs'!$G$9,L16,L16+K17)</f>
        <v>#REF!</v>
      </c>
      <c r="M17" s="122">
        <f>IF($B17&gt;'Financial Inputs'!$G$9,"",LOOKUP($B17,'Detailed Cash Flow'!$F$2:$AJ$2,'Detailed Cash Flow'!$F$49:$AJ$49))</f>
        <v>10.169356580281999</v>
      </c>
      <c r="N17" s="123" t="str">
        <f>IF($B17&gt;'Financial Inputs'!$G$9,"",LOOKUP($B17,'Detailed Cash Flow'!$F$2:$AJ$2,'Detailed Cash Flow'!$F$25:$AJ$25))</f>
        <v>N/A</v>
      </c>
      <c r="P17" s="233" t="e">
        <f>IF($B17&gt;'Financial Inputs'!$G$9,"",C17+I17+J17)</f>
        <v>#REF!</v>
      </c>
      <c r="Q17" s="234" t="e">
        <f>IF($B17&gt;'Financial Inputs'!$G$9,"",-(D17+E17+#REF!))</f>
        <v>#REF!</v>
      </c>
    </row>
    <row r="18" spans="2:17" x14ac:dyDescent="0.2">
      <c r="B18" s="121">
        <v>12</v>
      </c>
      <c r="C18" s="120">
        <f>IF($B18&gt;'Financial Inputs'!$G$9,"",LOOKUP($B18,'Detailed Cash Flow'!$F$2:$AJ$2,'Detailed Cash Flow'!$F$11:$AJ$11))</f>
        <v>127721.04606159616</v>
      </c>
      <c r="D18" s="120">
        <f>IF($B18&gt;'Financial Inputs'!$G$9,"",LOOKUP($B18,'Detailed Cash Flow'!$F$2:$AJ$2,'Detailed Cash Flow'!$F$19:$AJ$19))</f>
        <v>18641.089121898065</v>
      </c>
      <c r="E18" s="120">
        <f>IF($B18&gt;'Financial Inputs'!$G$9,"",LOOKUP($B18,'Detailed Cash Flow'!$F$2:$AJ$2,'Detailed Cash Flow'!$F$103:$AJ$103)+LOOKUP($B18,'Detailed Cash Flow'!$F$2:$AJ$2,'Detailed Cash Flow'!$F$28:$AJ$28))</f>
        <v>0</v>
      </c>
      <c r="F18" s="120">
        <f>IF($B18&gt;'Financial Inputs'!$G$9,"",SUM(C18:E18))</f>
        <v>146362.13518349422</v>
      </c>
      <c r="G18" s="120">
        <f>IF($B18&gt;'Financial Inputs'!$G$9,"",LOOKUP($B18,'Detailed Cash Flow'!$F$2:$AJ$2,'Detailed Cash Flow'!$F$43:$AJ$43))</f>
        <v>146362.13518349422</v>
      </c>
      <c r="H18" s="120">
        <f>IF($B18&gt;'Financial Inputs'!$G$9,"",LOOKUP($B18,'Detailed Cash Flow'!$F$2:$AJ$2,'Detailed Cash Flow'!$F$44:$AJ$44))</f>
        <v>146362.13518349422</v>
      </c>
      <c r="I18" s="120" t="e">
        <f>IF($B18&gt;'Financial Inputs'!$G$9,"",LOOKUP($B18,'Detailed Cash Flow'!$F$2:$AJ$2,'Detailed Cash Flow'!$F$46:$AJ$46)+LOOKUP($B18,'Detailed Cash Flow'!$F$2:$AJ$2,'Detailed Cash Flow'!#REF!))</f>
        <v>#REF!</v>
      </c>
      <c r="J18" s="120" t="e">
        <f>IF($B18&gt;'Financial Inputs'!$G$9,"",LOOKUP($B18,'Detailed Cash Flow'!$F$2:$AJ$2,'Detailed Cash Flow'!$F$47:$AJ$47)+LOOKUP($B18,'Detailed Cash Flow'!$F$2:$AJ$2,'Detailed Cash Flow'!#REF!))</f>
        <v>#REF!</v>
      </c>
      <c r="K18" s="120" t="e">
        <f>IF($B18&gt;'Financial Inputs'!$G$9,"",F18+I18+J18)</f>
        <v>#REF!</v>
      </c>
      <c r="L18" s="120" t="e">
        <f>IF($B18&gt;'Financial Inputs'!$G$9,L17,L17+K18)</f>
        <v>#REF!</v>
      </c>
      <c r="M18" s="122">
        <f>IF($B18&gt;'Financial Inputs'!$G$9,"",LOOKUP($B18,'Detailed Cash Flow'!$F$2:$AJ$2,'Detailed Cash Flow'!$F$49:$AJ$49))</f>
        <v>10.169356580312082</v>
      </c>
      <c r="N18" s="123" t="str">
        <f>IF($B18&gt;'Financial Inputs'!$G$9,"",LOOKUP($B18,'Detailed Cash Flow'!$F$2:$AJ$2,'Detailed Cash Flow'!$F$25:$AJ$25))</f>
        <v>N/A</v>
      </c>
      <c r="P18" s="233" t="e">
        <f>IF($B18&gt;'Financial Inputs'!$G$9,"",C18+I18+J18)</f>
        <v>#REF!</v>
      </c>
      <c r="Q18" s="234" t="e">
        <f>IF($B18&gt;'Financial Inputs'!$G$9,"",-(D18+E18+#REF!))</f>
        <v>#REF!</v>
      </c>
    </row>
    <row r="19" spans="2:17" x14ac:dyDescent="0.2">
      <c r="B19" s="121">
        <v>13</v>
      </c>
      <c r="C19" s="120">
        <f>IF($B19&gt;'Financial Inputs'!$G$9,"",LOOKUP($B19,'Detailed Cash Flow'!$F$2:$AJ$2,'Detailed Cash Flow'!$F$11:$AJ$11))</f>
        <v>128779.45973282809</v>
      </c>
      <c r="D19" s="120">
        <f>IF($B19&gt;'Financial Inputs'!$G$9,"",LOOKUP($B19,'Detailed Cash Flow'!$F$2:$AJ$2,'Detailed Cash Flow'!$F$19:$AJ$19))</f>
        <v>19013.910904336026</v>
      </c>
      <c r="E19" s="120">
        <f>IF($B19&gt;'Financial Inputs'!$G$9,"",LOOKUP($B19,'Detailed Cash Flow'!$F$2:$AJ$2,'Detailed Cash Flow'!$F$103:$AJ$103)+LOOKUP($B19,'Detailed Cash Flow'!$F$2:$AJ$2,'Detailed Cash Flow'!$F$28:$AJ$28))</f>
        <v>0</v>
      </c>
      <c r="F19" s="120">
        <f>IF($B19&gt;'Financial Inputs'!$G$9,"",SUM(C19:E19))</f>
        <v>147793.37063716413</v>
      </c>
      <c r="G19" s="120">
        <f>IF($B19&gt;'Financial Inputs'!$G$9,"",LOOKUP($B19,'Detailed Cash Flow'!$F$2:$AJ$2,'Detailed Cash Flow'!$F$43:$AJ$43))</f>
        <v>147793.37063716413</v>
      </c>
      <c r="H19" s="120">
        <f>IF($B19&gt;'Financial Inputs'!$G$9,"",LOOKUP($B19,'Detailed Cash Flow'!$F$2:$AJ$2,'Detailed Cash Flow'!$F$44:$AJ$44))</f>
        <v>147793.37063716413</v>
      </c>
      <c r="I19" s="120" t="e">
        <f>IF($B19&gt;'Financial Inputs'!$G$9,"",LOOKUP($B19,'Detailed Cash Flow'!$F$2:$AJ$2,'Detailed Cash Flow'!$F$46:$AJ$46)+LOOKUP($B19,'Detailed Cash Flow'!$F$2:$AJ$2,'Detailed Cash Flow'!#REF!))</f>
        <v>#REF!</v>
      </c>
      <c r="J19" s="120" t="e">
        <f>IF($B19&gt;'Financial Inputs'!$G$9,"",LOOKUP($B19,'Detailed Cash Flow'!$F$2:$AJ$2,'Detailed Cash Flow'!$F$47:$AJ$47)+LOOKUP($B19,'Detailed Cash Flow'!$F$2:$AJ$2,'Detailed Cash Flow'!#REF!))</f>
        <v>#REF!</v>
      </c>
      <c r="K19" s="120" t="e">
        <f>IF($B19&gt;'Financial Inputs'!$G$9,"",F19+I19+J19)</f>
        <v>#REF!</v>
      </c>
      <c r="L19" s="120" t="e">
        <f>IF($B19&gt;'Financial Inputs'!$G$9,L18,L18+K19)</f>
        <v>#REF!</v>
      </c>
      <c r="M19" s="122">
        <f>IF($B19&gt;'Financial Inputs'!$G$9,"",LOOKUP($B19,'Detailed Cash Flow'!$F$2:$AJ$2,'Detailed Cash Flow'!$F$49:$AJ$49))</f>
        <v>10.169356580314783</v>
      </c>
      <c r="N19" s="123" t="str">
        <f>IF($B19&gt;'Financial Inputs'!$G$9,"",LOOKUP($B19,'Detailed Cash Flow'!$F$2:$AJ$2,'Detailed Cash Flow'!$F$25:$AJ$25))</f>
        <v>N/A</v>
      </c>
      <c r="P19" s="233" t="e">
        <f>IF($B19&gt;'Financial Inputs'!$G$9,"",C19+I19+J19)</f>
        <v>#REF!</v>
      </c>
      <c r="Q19" s="234" t="e">
        <f>IF($B19&gt;'Financial Inputs'!$G$9,"",-(D19+E19+#REF!))</f>
        <v>#REF!</v>
      </c>
    </row>
    <row r="20" spans="2:17" x14ac:dyDescent="0.2">
      <c r="B20" s="125">
        <v>14</v>
      </c>
      <c r="C20" s="120">
        <f>IF($B20&gt;'Financial Inputs'!$G$9,"",LOOKUP($B20,'Detailed Cash Flow'!$F$2:$AJ$2,'Detailed Cash Flow'!$F$11:$AJ$11))</f>
        <v>129859.04167748464</v>
      </c>
      <c r="D20" s="120">
        <f>IF($B20&gt;'Financial Inputs'!$G$9,"",LOOKUP($B20,'Detailed Cash Flow'!$F$2:$AJ$2,'Detailed Cash Flow'!$F$19:$AJ$19))</f>
        <v>19394.189122422744</v>
      </c>
      <c r="E20" s="120">
        <f>IF($B20&gt;'Financial Inputs'!$G$9,"",LOOKUP($B20,'Detailed Cash Flow'!$F$2:$AJ$2,'Detailed Cash Flow'!$F$103:$AJ$103)+LOOKUP($B20,'Detailed Cash Flow'!$F$2:$AJ$2,'Detailed Cash Flow'!$F$28:$AJ$28))</f>
        <v>0</v>
      </c>
      <c r="F20" s="120">
        <f>IF($B20&gt;'Financial Inputs'!$G$9,"",SUM(C20:E20))</f>
        <v>149253.23079990738</v>
      </c>
      <c r="G20" s="120">
        <f>IF($B20&gt;'Financial Inputs'!$G$9,"",LOOKUP($B20,'Detailed Cash Flow'!$F$2:$AJ$2,'Detailed Cash Flow'!$F$43:$AJ$43))</f>
        <v>149253.23079990738</v>
      </c>
      <c r="H20" s="120">
        <f>IF($B20&gt;'Financial Inputs'!$G$9,"",LOOKUP($B20,'Detailed Cash Flow'!$F$2:$AJ$2,'Detailed Cash Flow'!$F$44:$AJ$44))</f>
        <v>149253.23079990738</v>
      </c>
      <c r="I20" s="120" t="e">
        <f>IF($B20&gt;'Financial Inputs'!$G$9,"",LOOKUP($B20,'Detailed Cash Flow'!$F$2:$AJ$2,'Detailed Cash Flow'!$F$46:$AJ$46)+LOOKUP($B20,'Detailed Cash Flow'!$F$2:$AJ$2,'Detailed Cash Flow'!#REF!))</f>
        <v>#REF!</v>
      </c>
      <c r="J20" s="120" t="e">
        <f>IF($B20&gt;'Financial Inputs'!$G$9,"",LOOKUP($B20,'Detailed Cash Flow'!$F$2:$AJ$2,'Detailed Cash Flow'!$F$47:$AJ$47)+LOOKUP($B20,'Detailed Cash Flow'!$F$2:$AJ$2,'Detailed Cash Flow'!#REF!))</f>
        <v>#REF!</v>
      </c>
      <c r="K20" s="120" t="e">
        <f>IF($B20&gt;'Financial Inputs'!$G$9,"",F20+I20+J20)</f>
        <v>#REF!</v>
      </c>
      <c r="L20" s="120" t="e">
        <f>IF($B20&gt;'Financial Inputs'!$G$9,L19,L19+K20)</f>
        <v>#REF!</v>
      </c>
      <c r="M20" s="122">
        <f>IF($B20&gt;'Financial Inputs'!$G$9,"",LOOKUP($B20,'Detailed Cash Flow'!$F$2:$AJ$2,'Detailed Cash Flow'!$F$49:$AJ$49))</f>
        <v>10.169356580315004</v>
      </c>
      <c r="N20" s="123" t="str">
        <f>IF($B20&gt;'Financial Inputs'!$G$9,"",LOOKUP($B20,'Detailed Cash Flow'!$F$2:$AJ$2,'Detailed Cash Flow'!$F$25:$AJ$25))</f>
        <v>N/A</v>
      </c>
      <c r="P20" s="233" t="e">
        <f>IF($B20&gt;'Financial Inputs'!$G$9,"",C20+I20+J20)</f>
        <v>#REF!</v>
      </c>
      <c r="Q20" s="234" t="e">
        <f>IF($B20&gt;'Financial Inputs'!$G$9,"",-(D20+E20+#REF!))</f>
        <v>#REF!</v>
      </c>
    </row>
    <row r="21" spans="2:17" x14ac:dyDescent="0.2">
      <c r="B21" s="121">
        <v>15</v>
      </c>
      <c r="C21" s="120">
        <f>IF($B21&gt;'Financial Inputs'!$G$9,"",LOOKUP($B21,'Detailed Cash Flow'!$F$2:$AJ$2,'Detailed Cash Flow'!$F$11:$AJ$11))</f>
        <v>130960.21526103435</v>
      </c>
      <c r="D21" s="120">
        <f>IF($B21&gt;'Financial Inputs'!$G$9,"",LOOKUP($B21,'Detailed Cash Flow'!$F$2:$AJ$2,'Detailed Cash Flow'!$F$19:$AJ$19))</f>
        <v>19782.072904871198</v>
      </c>
      <c r="E21" s="120">
        <f>IF($B21&gt;'Financial Inputs'!$G$9,"",LOOKUP($B21,'Detailed Cash Flow'!$F$2:$AJ$2,'Detailed Cash Flow'!$F$103:$AJ$103)+LOOKUP($B21,'Detailed Cash Flow'!$F$2:$AJ$2,'Detailed Cash Flow'!$F$28:$AJ$28))</f>
        <v>0</v>
      </c>
      <c r="F21" s="120">
        <f>IF($B21&gt;'Financial Inputs'!$G$9,"",SUM(C21:E21))</f>
        <v>150742.28816590554</v>
      </c>
      <c r="G21" s="120">
        <f>IF($B21&gt;'Financial Inputs'!$G$9,"",LOOKUP($B21,'Detailed Cash Flow'!$F$2:$AJ$2,'Detailed Cash Flow'!$F$43:$AJ$43))</f>
        <v>150742.28816590554</v>
      </c>
      <c r="H21" s="120">
        <f>IF($B21&gt;'Financial Inputs'!$G$9,"",LOOKUP($B21,'Detailed Cash Flow'!$F$2:$AJ$2,'Detailed Cash Flow'!$F$44:$AJ$44))</f>
        <v>150742.28816590554</v>
      </c>
      <c r="I21" s="120" t="e">
        <f>IF($B21&gt;'Financial Inputs'!$G$9,"",LOOKUP($B21,'Detailed Cash Flow'!$F$2:$AJ$2,'Detailed Cash Flow'!$F$46:$AJ$46)+LOOKUP($B21,'Detailed Cash Flow'!$F$2:$AJ$2,'Detailed Cash Flow'!#REF!))</f>
        <v>#REF!</v>
      </c>
      <c r="J21" s="120" t="e">
        <f>IF($B21&gt;'Financial Inputs'!$G$9,"",LOOKUP($B21,'Detailed Cash Flow'!$F$2:$AJ$2,'Detailed Cash Flow'!$F$47:$AJ$47)+LOOKUP($B21,'Detailed Cash Flow'!$F$2:$AJ$2,'Detailed Cash Flow'!#REF!))</f>
        <v>#REF!</v>
      </c>
      <c r="K21" s="120" t="e">
        <f>IF($B21&gt;'Financial Inputs'!$G$9,"",F21+I21+J21)</f>
        <v>#REF!</v>
      </c>
      <c r="L21" s="120" t="e">
        <f>IF($B21&gt;'Financial Inputs'!$G$9,L20,L20+K21)</f>
        <v>#REF!</v>
      </c>
      <c r="M21" s="122">
        <f>IF($B21&gt;'Financial Inputs'!$G$9,"",LOOKUP($B21,'Detailed Cash Flow'!$F$2:$AJ$2,'Detailed Cash Flow'!$F$49:$AJ$49))</f>
        <v>10.169356580314934</v>
      </c>
      <c r="N21" s="123" t="str">
        <f>IF($B21&gt;'Financial Inputs'!$G$9,"",LOOKUP($B21,'Detailed Cash Flow'!$F$2:$AJ$2,'Detailed Cash Flow'!$F$25:$AJ$25))</f>
        <v>N/A</v>
      </c>
      <c r="P21" s="233" t="e">
        <f>IF($B21&gt;'Financial Inputs'!$G$9,"",C21+I21+J21)</f>
        <v>#REF!</v>
      </c>
      <c r="Q21" s="234" t="e">
        <f>IF($B21&gt;'Financial Inputs'!$G$9,"",-(D21+E21+#REF!))</f>
        <v>#REF!</v>
      </c>
    </row>
    <row r="22" spans="2:17" x14ac:dyDescent="0.2">
      <c r="B22" s="121">
        <v>16</v>
      </c>
      <c r="C22" s="120">
        <f>IF($B22&gt;'Financial Inputs'!$G$9,"",LOOKUP($B22,'Detailed Cash Flow'!$F$2:$AJ$2,'Detailed Cash Flow'!$F$11:$AJ$11))</f>
        <v>132083.41231625504</v>
      </c>
      <c r="D22" s="120">
        <f>IF($B22&gt;'Financial Inputs'!$G$9,"",LOOKUP($B22,'Detailed Cash Flow'!$F$2:$AJ$2,'Detailed Cash Flow'!$F$19:$AJ$19))</f>
        <v>20177.714362968625</v>
      </c>
      <c r="E22" s="120">
        <f>IF($B22&gt;'Financial Inputs'!$G$9,"",LOOKUP($B22,'Detailed Cash Flow'!$F$2:$AJ$2,'Detailed Cash Flow'!$F$103:$AJ$103)+LOOKUP($B22,'Detailed Cash Flow'!$F$2:$AJ$2,'Detailed Cash Flow'!$F$28:$AJ$28))</f>
        <v>0</v>
      </c>
      <c r="F22" s="120">
        <f>IF($B22&gt;'Financial Inputs'!$G$9,"",SUM(C22:E22))</f>
        <v>152261.12667922367</v>
      </c>
      <c r="G22" s="120">
        <f>IF($B22&gt;'Financial Inputs'!$G$9,"",LOOKUP($B22,'Detailed Cash Flow'!$F$2:$AJ$2,'Detailed Cash Flow'!$F$43:$AJ$43))</f>
        <v>152261.12667922367</v>
      </c>
      <c r="H22" s="120">
        <f>IF($B22&gt;'Financial Inputs'!$G$9,"",LOOKUP($B22,'Detailed Cash Flow'!$F$2:$AJ$2,'Detailed Cash Flow'!$F$44:$AJ$44))</f>
        <v>152261.12667922367</v>
      </c>
      <c r="I22" s="120" t="e">
        <f>IF($B22&gt;'Financial Inputs'!$G$9,"",LOOKUP($B22,'Detailed Cash Flow'!$F$2:$AJ$2,'Detailed Cash Flow'!$F$46:$AJ$46)+LOOKUP($B22,'Detailed Cash Flow'!$F$2:$AJ$2,'Detailed Cash Flow'!#REF!))</f>
        <v>#REF!</v>
      </c>
      <c r="J22" s="120" t="e">
        <f>IF($B22&gt;'Financial Inputs'!$G$9,"",LOOKUP($B22,'Detailed Cash Flow'!$F$2:$AJ$2,'Detailed Cash Flow'!$F$47:$AJ$47)+LOOKUP($B22,'Detailed Cash Flow'!$F$2:$AJ$2,'Detailed Cash Flow'!#REF!))</f>
        <v>#REF!</v>
      </c>
      <c r="K22" s="120" t="e">
        <f>IF($B22&gt;'Financial Inputs'!$G$9,"",F22+I22+J22)</f>
        <v>#REF!</v>
      </c>
      <c r="L22" s="120" t="e">
        <f>IF($B22&gt;'Financial Inputs'!$G$9,L21,L21+K22)</f>
        <v>#REF!</v>
      </c>
      <c r="M22" s="122">
        <f>IF($B22&gt;'Financial Inputs'!$G$9,"",LOOKUP($B22,'Detailed Cash Flow'!$F$2:$AJ$2,'Detailed Cash Flow'!$F$49:$AJ$49))</f>
        <v>10.169356580314616</v>
      </c>
      <c r="N22" s="123" t="str">
        <f>IF($B22&gt;'Financial Inputs'!$G$9,"",LOOKUP($B22,'Detailed Cash Flow'!$F$2:$AJ$2,'Detailed Cash Flow'!$F$25:$AJ$25))</f>
        <v>N/A</v>
      </c>
      <c r="P22" s="233" t="e">
        <f>IF($B22&gt;'Financial Inputs'!$G$9,"",C22+I22+J22)</f>
        <v>#REF!</v>
      </c>
      <c r="Q22" s="234" t="e">
        <f>IF($B22&gt;'Financial Inputs'!$G$9,"",-(D22+E22+#REF!))</f>
        <v>#REF!</v>
      </c>
    </row>
    <row r="23" spans="2:17" x14ac:dyDescent="0.2">
      <c r="B23" s="125">
        <v>17</v>
      </c>
      <c r="C23" s="120">
        <f>IF($B23&gt;'Financial Inputs'!$G$9,"",LOOKUP($B23,'Detailed Cash Flow'!$F$2:$AJ$2,'Detailed Cash Flow'!$F$11:$AJ$11))</f>
        <v>133229.07331258012</v>
      </c>
      <c r="D23" s="120">
        <f>IF($B23&gt;'Financial Inputs'!$G$9,"",LOOKUP($B23,'Detailed Cash Flow'!$F$2:$AJ$2,'Detailed Cash Flow'!$F$19:$AJ$19))</f>
        <v>20581.268650227998</v>
      </c>
      <c r="E23" s="120">
        <f>IF($B23&gt;'Financial Inputs'!$G$9,"",LOOKUP($B23,'Detailed Cash Flow'!$F$2:$AJ$2,'Detailed Cash Flow'!$F$103:$AJ$103)+LOOKUP($B23,'Detailed Cash Flow'!$F$2:$AJ$2,'Detailed Cash Flow'!$F$28:$AJ$28))</f>
        <v>0</v>
      </c>
      <c r="F23" s="120">
        <f>IF($B23&gt;'Financial Inputs'!$G$9,"",SUM(C23:E23))</f>
        <v>153810.3419628081</v>
      </c>
      <c r="G23" s="120">
        <f>IF($B23&gt;'Financial Inputs'!$G$9,"",LOOKUP($B23,'Detailed Cash Flow'!$F$2:$AJ$2,'Detailed Cash Flow'!$F$43:$AJ$43))</f>
        <v>153810.3419628081</v>
      </c>
      <c r="H23" s="120">
        <f>IF($B23&gt;'Financial Inputs'!$G$9,"",LOOKUP($B23,'Detailed Cash Flow'!$F$2:$AJ$2,'Detailed Cash Flow'!$F$44:$AJ$44))</f>
        <v>153810.3419628081</v>
      </c>
      <c r="I23" s="120" t="e">
        <f>IF($B23&gt;'Financial Inputs'!$G$9,"",LOOKUP($B23,'Detailed Cash Flow'!$F$2:$AJ$2,'Detailed Cash Flow'!$F$46:$AJ$46)+LOOKUP($B23,'Detailed Cash Flow'!$F$2:$AJ$2,'Detailed Cash Flow'!#REF!))</f>
        <v>#REF!</v>
      </c>
      <c r="J23" s="120" t="e">
        <f>IF($B23&gt;'Financial Inputs'!$G$9,"",LOOKUP($B23,'Detailed Cash Flow'!$F$2:$AJ$2,'Detailed Cash Flow'!$F$47:$AJ$47)+LOOKUP($B23,'Detailed Cash Flow'!$F$2:$AJ$2,'Detailed Cash Flow'!#REF!))</f>
        <v>#REF!</v>
      </c>
      <c r="K23" s="120" t="e">
        <f>IF($B23&gt;'Financial Inputs'!$G$9,"",F23+I23+J23)</f>
        <v>#REF!</v>
      </c>
      <c r="L23" s="120" t="e">
        <f>IF($B23&gt;'Financial Inputs'!$G$9,L22,L22+K23)</f>
        <v>#REF!</v>
      </c>
      <c r="M23" s="122">
        <f>IF($B23&gt;'Financial Inputs'!$G$9,"",LOOKUP($B23,'Detailed Cash Flow'!$F$2:$AJ$2,'Detailed Cash Flow'!$F$49:$AJ$49))</f>
        <v>10.16935658031373</v>
      </c>
      <c r="N23" s="123" t="str">
        <f>IF($B23&gt;'Financial Inputs'!$G$9,"",LOOKUP($B23,'Detailed Cash Flow'!$F$2:$AJ$2,'Detailed Cash Flow'!$F$25:$AJ$25))</f>
        <v>N/A</v>
      </c>
      <c r="P23" s="233" t="e">
        <f>IF($B23&gt;'Financial Inputs'!$G$9,"",C23+I23+J23)</f>
        <v>#REF!</v>
      </c>
      <c r="Q23" s="234" t="e">
        <f>IF($B23&gt;'Financial Inputs'!$G$9,"",-(D23+E23+#REF!))</f>
        <v>#REF!</v>
      </c>
    </row>
    <row r="24" spans="2:17" x14ac:dyDescent="0.2">
      <c r="B24" s="121">
        <v>18</v>
      </c>
      <c r="C24" s="120">
        <f>IF($B24&gt;'Financial Inputs'!$G$9,"",LOOKUP($B24,'Detailed Cash Flow'!$F$2:$AJ$2,'Detailed Cash Flow'!$F$11:$AJ$11))</f>
        <v>134397.64752883176</v>
      </c>
      <c r="D24" s="120">
        <f>IF($B24&gt;'Financial Inputs'!$G$9,"",LOOKUP($B24,'Detailed Cash Flow'!$F$2:$AJ$2,'Detailed Cash Flow'!$F$19:$AJ$19))</f>
        <v>20992.894023232559</v>
      </c>
      <c r="E24" s="120">
        <f>IF($B24&gt;'Financial Inputs'!$G$9,"",LOOKUP($B24,'Detailed Cash Flow'!$F$2:$AJ$2,'Detailed Cash Flow'!$F$103:$AJ$103)+LOOKUP($B24,'Detailed Cash Flow'!$F$2:$AJ$2,'Detailed Cash Flow'!$F$28:$AJ$28))</f>
        <v>0</v>
      </c>
      <c r="F24" s="120">
        <f>IF($B24&gt;'Financial Inputs'!$G$9,"",SUM(C24:E24))</f>
        <v>155390.54155206433</v>
      </c>
      <c r="G24" s="120">
        <f>IF($B24&gt;'Financial Inputs'!$G$9,"",LOOKUP($B24,'Detailed Cash Flow'!$F$2:$AJ$2,'Detailed Cash Flow'!$F$43:$AJ$43))</f>
        <v>155390.54155206433</v>
      </c>
      <c r="H24" s="120">
        <f>IF($B24&gt;'Financial Inputs'!$G$9,"",LOOKUP($B24,'Detailed Cash Flow'!$F$2:$AJ$2,'Detailed Cash Flow'!$F$44:$AJ$44))</f>
        <v>155390.54155206433</v>
      </c>
      <c r="I24" s="120" t="e">
        <f>IF($B24&gt;'Financial Inputs'!$G$9,"",LOOKUP($B24,'Detailed Cash Flow'!$F$2:$AJ$2,'Detailed Cash Flow'!$F$46:$AJ$46)+LOOKUP($B24,'Detailed Cash Flow'!$F$2:$AJ$2,'Detailed Cash Flow'!#REF!))</f>
        <v>#REF!</v>
      </c>
      <c r="J24" s="120" t="e">
        <f>IF($B24&gt;'Financial Inputs'!$G$9,"",LOOKUP($B24,'Detailed Cash Flow'!$F$2:$AJ$2,'Detailed Cash Flow'!$F$47:$AJ$47)+LOOKUP($B24,'Detailed Cash Flow'!$F$2:$AJ$2,'Detailed Cash Flow'!#REF!))</f>
        <v>#REF!</v>
      </c>
      <c r="K24" s="120" t="e">
        <f>IF($B24&gt;'Financial Inputs'!$G$9,"",F24+I24+J24)</f>
        <v>#REF!</v>
      </c>
      <c r="L24" s="120" t="e">
        <f>IF($B24&gt;'Financial Inputs'!$G$9,L23,L23+K24)</f>
        <v>#REF!</v>
      </c>
      <c r="M24" s="122">
        <f>IF($B24&gt;'Financial Inputs'!$G$9,"",LOOKUP($B24,'Detailed Cash Flow'!$F$2:$AJ$2,'Detailed Cash Flow'!$F$49:$AJ$49))</f>
        <v>10.169356580311611</v>
      </c>
      <c r="N24" s="123" t="str">
        <f>IF($B24&gt;'Financial Inputs'!$G$9,"",LOOKUP($B24,'Detailed Cash Flow'!$F$2:$AJ$2,'Detailed Cash Flow'!$F$25:$AJ$25))</f>
        <v>N/A</v>
      </c>
      <c r="P24" s="233" t="e">
        <f>IF($B24&gt;'Financial Inputs'!$G$9,"",C24+I24+J24)</f>
        <v>#REF!</v>
      </c>
      <c r="Q24" s="234" t="e">
        <f>IF($B24&gt;'Financial Inputs'!$G$9,"",-(D24+E24+#REF!))</f>
        <v>#REF!</v>
      </c>
    </row>
    <row r="25" spans="2:17" x14ac:dyDescent="0.2">
      <c r="B25" s="121">
        <v>19</v>
      </c>
      <c r="C25" s="120">
        <f>IF($B25&gt;'Financial Inputs'!$G$9,"",LOOKUP($B25,'Detailed Cash Flow'!$F$2:$AJ$2,'Detailed Cash Flow'!$F$11:$AJ$11))</f>
        <v>135589.59322940838</v>
      </c>
      <c r="D25" s="120">
        <f>IF($B25&gt;'Financial Inputs'!$G$9,"",LOOKUP($B25,'Detailed Cash Flow'!$F$2:$AJ$2,'Detailed Cash Flow'!$F$19:$AJ$19))</f>
        <v>21412.751903697208</v>
      </c>
      <c r="E25" s="120">
        <f>IF($B25&gt;'Financial Inputs'!$G$9,"",LOOKUP($B25,'Detailed Cash Flow'!$F$2:$AJ$2,'Detailed Cash Flow'!$F$103:$AJ$103)+LOOKUP($B25,'Detailed Cash Flow'!$F$2:$AJ$2,'Detailed Cash Flow'!$F$28:$AJ$28))</f>
        <v>0</v>
      </c>
      <c r="F25" s="120">
        <f>IF($B25&gt;'Financial Inputs'!$G$9,"",SUM(C25:E25))</f>
        <v>157002.34513310558</v>
      </c>
      <c r="G25" s="120">
        <f>IF($B25&gt;'Financial Inputs'!$G$9,"",LOOKUP($B25,'Detailed Cash Flow'!$F$2:$AJ$2,'Detailed Cash Flow'!$F$43:$AJ$43))</f>
        <v>157002.34513310558</v>
      </c>
      <c r="H25" s="120">
        <f>IF($B25&gt;'Financial Inputs'!$G$9,"",LOOKUP($B25,'Detailed Cash Flow'!$F$2:$AJ$2,'Detailed Cash Flow'!$F$44:$AJ$44))</f>
        <v>157002.34513310558</v>
      </c>
      <c r="I25" s="120" t="e">
        <f>IF($B25&gt;'Financial Inputs'!$G$9,"",LOOKUP($B25,'Detailed Cash Flow'!$F$2:$AJ$2,'Detailed Cash Flow'!$F$46:$AJ$46)+LOOKUP($B25,'Detailed Cash Flow'!$F$2:$AJ$2,'Detailed Cash Flow'!#REF!))</f>
        <v>#REF!</v>
      </c>
      <c r="J25" s="120" t="e">
        <f>IF($B25&gt;'Financial Inputs'!$G$9,"",LOOKUP($B25,'Detailed Cash Flow'!$F$2:$AJ$2,'Detailed Cash Flow'!$F$47:$AJ$47)+LOOKUP($B25,'Detailed Cash Flow'!$F$2:$AJ$2,'Detailed Cash Flow'!#REF!))</f>
        <v>#REF!</v>
      </c>
      <c r="K25" s="120" t="e">
        <f>IF($B25&gt;'Financial Inputs'!$G$9,"",F25+I25+J25)</f>
        <v>#REF!</v>
      </c>
      <c r="L25" s="120" t="e">
        <f>IF($B25&gt;'Financial Inputs'!$G$9,L24,L24+K25)</f>
        <v>#REF!</v>
      </c>
      <c r="M25" s="122">
        <f>IF($B25&gt;'Financial Inputs'!$G$9,"",LOOKUP($B25,'Detailed Cash Flow'!$F$2:$AJ$2,'Detailed Cash Flow'!$F$49:$AJ$49))</f>
        <v>10.169356580307081</v>
      </c>
      <c r="N25" s="123" t="str">
        <f>IF($B25&gt;'Financial Inputs'!$G$9,"",LOOKUP($B25,'Detailed Cash Flow'!$F$2:$AJ$2,'Detailed Cash Flow'!$F$25:$AJ$25))</f>
        <v>N/A</v>
      </c>
      <c r="P25" s="233" t="e">
        <f>IF($B25&gt;'Financial Inputs'!$G$9,"",C25+I25+J25)</f>
        <v>#REF!</v>
      </c>
      <c r="Q25" s="234" t="e">
        <f>IF($B25&gt;'Financial Inputs'!$G$9,"",-(D25+E25+#REF!))</f>
        <v>#REF!</v>
      </c>
    </row>
    <row r="26" spans="2:17" x14ac:dyDescent="0.2">
      <c r="B26" s="125">
        <v>20</v>
      </c>
      <c r="C26" s="120">
        <f>IF($B26&gt;'Financial Inputs'!$G$9,"",LOOKUP($B26,'Detailed Cash Flow'!$F$2:$AJ$2,'Detailed Cash Flow'!$F$11:$AJ$11))</f>
        <v>136805.37784399654</v>
      </c>
      <c r="D26" s="120">
        <f>IF($B26&gt;'Financial Inputs'!$G$9,"",LOOKUP($B26,'Detailed Cash Flow'!$F$2:$AJ$2,'Detailed Cash Flow'!$F$19:$AJ$19))</f>
        <v>21841.006941771153</v>
      </c>
      <c r="E26" s="120">
        <f>IF($B26&gt;'Financial Inputs'!$G$9,"",LOOKUP($B26,'Detailed Cash Flow'!$F$2:$AJ$2,'Detailed Cash Flow'!$F$103:$AJ$103)+LOOKUP($B26,'Detailed Cash Flow'!$F$2:$AJ$2,'Detailed Cash Flow'!$F$28:$AJ$28))</f>
        <v>0</v>
      </c>
      <c r="F26" s="120">
        <f>IF($B26&gt;'Financial Inputs'!$G$9,"",SUM(C26:E26))</f>
        <v>158646.3847857677</v>
      </c>
      <c r="G26" s="120">
        <f>IF($B26&gt;'Financial Inputs'!$G$9,"",LOOKUP($B26,'Detailed Cash Flow'!$F$2:$AJ$2,'Detailed Cash Flow'!$F$43:$AJ$43))</f>
        <v>148646.3847857677</v>
      </c>
      <c r="H26" s="120">
        <f>IF($B26&gt;'Financial Inputs'!$G$9,"",LOOKUP($B26,'Detailed Cash Flow'!$F$2:$AJ$2,'Detailed Cash Flow'!$F$44:$AJ$44))</f>
        <v>148646.3847857677</v>
      </c>
      <c r="I26" s="120" t="e">
        <f>IF($B26&gt;'Financial Inputs'!$G$9,"",LOOKUP($B26,'Detailed Cash Flow'!$F$2:$AJ$2,'Detailed Cash Flow'!$F$46:$AJ$46)+LOOKUP($B26,'Detailed Cash Flow'!$F$2:$AJ$2,'Detailed Cash Flow'!#REF!))</f>
        <v>#REF!</v>
      </c>
      <c r="J26" s="120" t="e">
        <f>IF($B26&gt;'Financial Inputs'!$G$9,"",LOOKUP($B26,'Detailed Cash Flow'!$F$2:$AJ$2,'Detailed Cash Flow'!$F$47:$AJ$47)+LOOKUP($B26,'Detailed Cash Flow'!$F$2:$AJ$2,'Detailed Cash Flow'!#REF!))</f>
        <v>#REF!</v>
      </c>
      <c r="K26" s="120" t="e">
        <f>IF($B26&gt;'Financial Inputs'!$G$9,"",F26+I26+J26)</f>
        <v>#REF!</v>
      </c>
      <c r="L26" s="120" t="e">
        <f>IF($B26&gt;'Financial Inputs'!$G$9,L25,L25+K26)</f>
        <v>#REF!</v>
      </c>
      <c r="M26" s="122">
        <f>IF($B26&gt;'Financial Inputs'!$G$9,"",LOOKUP($B26,'Detailed Cash Flow'!$F$2:$AJ$2,'Detailed Cash Flow'!$F$49:$AJ$49))</f>
        <v>10.169356580297787</v>
      </c>
      <c r="N26" s="123" t="str">
        <f>IF($B26&gt;'Financial Inputs'!$G$9,"",LOOKUP($B26,'Detailed Cash Flow'!$F$2:$AJ$2,'Detailed Cash Flow'!$F$25:$AJ$25))</f>
        <v>N/A</v>
      </c>
      <c r="P26" s="233" t="e">
        <f>IF($B26&gt;'Financial Inputs'!$G$9,"",C26+I26+J26)</f>
        <v>#REF!</v>
      </c>
      <c r="Q26" s="234" t="e">
        <f>IF($B26&gt;'Financial Inputs'!$G$9,"",-(D26+E26+#REF!))</f>
        <v>#REF!</v>
      </c>
    </row>
    <row r="27" spans="2:17" x14ac:dyDescent="0.2">
      <c r="B27" s="121">
        <v>21</v>
      </c>
      <c r="C27" s="120" t="str">
        <f>IF($B27&gt;'Financial Inputs'!$G$9,"",LOOKUP($B27,'Detailed Cash Flow'!$F$2:$AJ$2,'Detailed Cash Flow'!$F$11:$AJ$11))</f>
        <v/>
      </c>
      <c r="D27" s="120" t="str">
        <f>IF($B27&gt;'Financial Inputs'!$G$9,"",LOOKUP($B27,'Detailed Cash Flow'!$F$2:$AJ$2,'Detailed Cash Flow'!$F$19:$AJ$19))</f>
        <v/>
      </c>
      <c r="E27" s="120" t="str">
        <f>IF($B27&gt;'Financial Inputs'!$G$9,"",LOOKUP($B27,'Detailed Cash Flow'!$F$2:$AJ$2,'Detailed Cash Flow'!$F$103:$AJ$103))</f>
        <v/>
      </c>
      <c r="F27" s="120" t="str">
        <f>IF($B27&gt;'Financial Inputs'!$G$9,"",SUM(C27:E27))</f>
        <v/>
      </c>
      <c r="G27" s="120" t="str">
        <f>IF($B27&gt;'Financial Inputs'!$G$9,"",LOOKUP($B27,'Detailed Cash Flow'!$F$2:$AJ$2,'Detailed Cash Flow'!$F$43:$AJ$43))</f>
        <v/>
      </c>
      <c r="H27" s="120" t="str">
        <f>IF($B27&gt;'Financial Inputs'!$G$9,"",LOOKUP($B27,'Detailed Cash Flow'!$F$2:$AJ$2,'Detailed Cash Flow'!$F$44:$AJ$44))</f>
        <v/>
      </c>
      <c r="I27" s="120" t="str">
        <f>IF($B27&gt;'Financial Inputs'!$G$9,"",LOOKUP($B27,'Detailed Cash Flow'!$F$2:$AJ$2,'Detailed Cash Flow'!$F$46:$AJ$46)+LOOKUP($B27,'Detailed Cash Flow'!$F$2:$AJ$2,'Detailed Cash Flow'!#REF!))</f>
        <v/>
      </c>
      <c r="J27" s="120" t="str">
        <f>IF($B27&gt;'Financial Inputs'!$G$9,"",LOOKUP($B27,'Detailed Cash Flow'!$F$2:$AJ$2,'Detailed Cash Flow'!$F$47:$AJ$47)+LOOKUP($B27,'Detailed Cash Flow'!$F$2:$AJ$2,'Detailed Cash Flow'!#REF!))</f>
        <v/>
      </c>
      <c r="K27" s="120" t="str">
        <f>IF($B27&gt;'Financial Inputs'!$G$9,"",F27+I27+J27)</f>
        <v/>
      </c>
      <c r="L27" s="120" t="e">
        <f>IF($B27&gt;'Financial Inputs'!$G$9,L26,L26+K27)</f>
        <v>#REF!</v>
      </c>
      <c r="M27" s="122" t="str">
        <f>IF($B27&gt;'Financial Inputs'!$G$9,"",LOOKUP($B27,'Detailed Cash Flow'!$F$2:$AJ$2,'Detailed Cash Flow'!$F$49:$AJ$49))</f>
        <v/>
      </c>
      <c r="N27" s="123" t="str">
        <f>IF($B27&gt;'Financial Inputs'!$G$9,"",LOOKUP($B27,'Detailed Cash Flow'!$F$2:$AJ$2,'Detailed Cash Flow'!$F$25:$AJ$25))</f>
        <v/>
      </c>
      <c r="P27" s="233" t="str">
        <f>IF($B27&gt;'Financial Inputs'!$G$9,"",C27+I27+J27)</f>
        <v/>
      </c>
      <c r="Q27" s="234" t="str">
        <f>IF($B27&gt;'Financial Inputs'!$G$9,"",-(D27+E27+#REF!))</f>
        <v/>
      </c>
    </row>
    <row r="28" spans="2:17" x14ac:dyDescent="0.2">
      <c r="B28" s="121">
        <v>22</v>
      </c>
      <c r="C28" s="120" t="str">
        <f>IF($B28&gt;'Financial Inputs'!$G$9,"",LOOKUP($B28,'Detailed Cash Flow'!$F$2:$AJ$2,'Detailed Cash Flow'!$F$11:$AJ$11))</f>
        <v/>
      </c>
      <c r="D28" s="120" t="str">
        <f>IF($B28&gt;'Financial Inputs'!$G$9,"",LOOKUP($B28,'Detailed Cash Flow'!$F$2:$AJ$2,'Detailed Cash Flow'!$F$19:$AJ$19))</f>
        <v/>
      </c>
      <c r="E28" s="120" t="str">
        <f>IF($B28&gt;'Financial Inputs'!$G$9,"",LOOKUP($B28,'Detailed Cash Flow'!$F$2:$AJ$2,'Detailed Cash Flow'!$F$103:$AJ$103))</f>
        <v/>
      </c>
      <c r="F28" s="120" t="str">
        <f>IF($B28&gt;'Financial Inputs'!$G$9,"",SUM(C28:E28))</f>
        <v/>
      </c>
      <c r="G28" s="120" t="str">
        <f>IF($B28&gt;'Financial Inputs'!$G$9,"",LOOKUP($B28,'Detailed Cash Flow'!$F$2:$AJ$2,'Detailed Cash Flow'!$F$43:$AJ$43))</f>
        <v/>
      </c>
      <c r="H28" s="120" t="str">
        <f>IF($B28&gt;'Financial Inputs'!$G$9,"",LOOKUP($B28,'Detailed Cash Flow'!$F$2:$AJ$2,'Detailed Cash Flow'!$F$44:$AJ$44))</f>
        <v/>
      </c>
      <c r="I28" s="120" t="str">
        <f>IF($B28&gt;'Financial Inputs'!$G$9,"",LOOKUP($B28,'Detailed Cash Flow'!$F$2:$AJ$2,'Detailed Cash Flow'!$F$46:$AJ$46)+LOOKUP($B28,'Detailed Cash Flow'!$F$2:$AJ$2,'Detailed Cash Flow'!#REF!))</f>
        <v/>
      </c>
      <c r="J28" s="120" t="str">
        <f>IF($B28&gt;'Financial Inputs'!$G$9,"",LOOKUP($B28,'Detailed Cash Flow'!$F$2:$AJ$2,'Detailed Cash Flow'!$F$47:$AJ$47)+LOOKUP($B28,'Detailed Cash Flow'!$F$2:$AJ$2,'Detailed Cash Flow'!#REF!))</f>
        <v/>
      </c>
      <c r="K28" s="120" t="str">
        <f>IF($B28&gt;'Financial Inputs'!$G$9,"",F28+I28+J28)</f>
        <v/>
      </c>
      <c r="L28" s="120" t="e">
        <f>IF($B28&gt;'Financial Inputs'!$G$9,L27,L27+K28)</f>
        <v>#REF!</v>
      </c>
      <c r="M28" s="122" t="str">
        <f>IF($B28&gt;'Financial Inputs'!$G$9,"",LOOKUP($B28,'Detailed Cash Flow'!$F$2:$AJ$2,'Detailed Cash Flow'!$F$49:$AJ$49))</f>
        <v/>
      </c>
      <c r="N28" s="123" t="str">
        <f>IF($B28&gt;'Financial Inputs'!$G$9,"",LOOKUP($B28,'Detailed Cash Flow'!$F$2:$AJ$2,'Detailed Cash Flow'!$F$25:$AJ$25))</f>
        <v/>
      </c>
      <c r="P28" s="233" t="str">
        <f>IF($B28&gt;'Financial Inputs'!$G$9,"",C28+I28+J28)</f>
        <v/>
      </c>
      <c r="Q28" s="234" t="str">
        <f>IF($B28&gt;'Financial Inputs'!$G$9,"",-(D28+E28+#REF!))</f>
        <v/>
      </c>
    </row>
    <row r="29" spans="2:17" x14ac:dyDescent="0.2">
      <c r="B29" s="125">
        <v>23</v>
      </c>
      <c r="C29" s="120" t="str">
        <f>IF($B29&gt;'Financial Inputs'!$G$9,"",LOOKUP($B29,'Detailed Cash Flow'!$F$2:$AJ$2,'Detailed Cash Flow'!$F$11:$AJ$11))</f>
        <v/>
      </c>
      <c r="D29" s="120" t="str">
        <f>IF($B29&gt;'Financial Inputs'!$G$9,"",LOOKUP($B29,'Detailed Cash Flow'!$F$2:$AJ$2,'Detailed Cash Flow'!$F$28:$AJ$28))</f>
        <v/>
      </c>
      <c r="E29" s="120" t="str">
        <f>IF($B29&gt;'Financial Inputs'!$G$9,"",LOOKUP($B29,'Detailed Cash Flow'!$F$2:$AJ$2,'Detailed Cash Flow'!$F$103:$AJ$103))</f>
        <v/>
      </c>
      <c r="F29" s="120" t="str">
        <f>IF($B29&gt;'Financial Inputs'!$G$9,"",SUM(C29:E29))</f>
        <v/>
      </c>
      <c r="G29" s="120" t="str">
        <f>IF($B29&gt;'Financial Inputs'!$G$9,"",LOOKUP($B29,'Detailed Cash Flow'!$F$2:$AJ$2,'Detailed Cash Flow'!$F$43:$AJ$43))</f>
        <v/>
      </c>
      <c r="H29" s="120" t="str">
        <f>IF($B29&gt;'Financial Inputs'!$G$9,"",LOOKUP($B29,'Detailed Cash Flow'!$F$2:$AJ$2,'Detailed Cash Flow'!$F$44:$AJ$44))</f>
        <v/>
      </c>
      <c r="I29" s="120" t="str">
        <f>IF($B29&gt;'Financial Inputs'!$G$9,"",LOOKUP($B29,'Detailed Cash Flow'!$F$2:$AJ$2,'Detailed Cash Flow'!$F$46:$AJ$46)+LOOKUP($B29,'Detailed Cash Flow'!$F$2:$AJ$2,'Detailed Cash Flow'!#REF!))</f>
        <v/>
      </c>
      <c r="J29" s="120" t="str">
        <f>IF($B29&gt;'Financial Inputs'!$G$9,"",LOOKUP($B29,'Detailed Cash Flow'!$F$2:$AJ$2,'Detailed Cash Flow'!$F$47:$AJ$47)+LOOKUP($B29,'Detailed Cash Flow'!$F$2:$AJ$2,'Detailed Cash Flow'!#REF!))</f>
        <v/>
      </c>
      <c r="K29" s="120" t="str">
        <f>IF($B29&gt;'Financial Inputs'!$G$9,"",F29+I29+J29)</f>
        <v/>
      </c>
      <c r="L29" s="120" t="e">
        <f>IF($B29&gt;'Financial Inputs'!$G$9,L28,L28+K29)</f>
        <v>#REF!</v>
      </c>
      <c r="M29" s="122" t="str">
        <f>IF($B29&gt;'Financial Inputs'!$G$9,"",LOOKUP($B29,'Detailed Cash Flow'!$F$2:$AJ$2,'Detailed Cash Flow'!$F$49:$AJ$49))</f>
        <v/>
      </c>
      <c r="N29" s="123" t="str">
        <f>IF($B29&gt;'Financial Inputs'!$G$9,"",LOOKUP($B29,'Detailed Cash Flow'!$F$2:$AJ$2,'Detailed Cash Flow'!$F$25:$AJ$25))</f>
        <v/>
      </c>
      <c r="P29" s="233" t="str">
        <f>IF($B29&gt;'Financial Inputs'!$G$9,"",C29+I29+J29)</f>
        <v/>
      </c>
      <c r="Q29" s="234" t="str">
        <f>IF($B29&gt;'Financial Inputs'!$G$9,"",-(D29+E29+#REF!))</f>
        <v/>
      </c>
    </row>
    <row r="30" spans="2:17" x14ac:dyDescent="0.2">
      <c r="B30" s="121">
        <v>24</v>
      </c>
      <c r="C30" s="120" t="str">
        <f>IF($B30&gt;'Financial Inputs'!$G$9,"",LOOKUP($B30,'Detailed Cash Flow'!$F$2:$AJ$2,'Detailed Cash Flow'!$F$11:$AJ$11))</f>
        <v/>
      </c>
      <c r="D30" s="120" t="str">
        <f>IF($B30&gt;'Financial Inputs'!$G$9,"",LOOKUP($B30,'Detailed Cash Flow'!$F$2:$AJ$2,'Detailed Cash Flow'!$F$19:$AJ$19))</f>
        <v/>
      </c>
      <c r="E30" s="120" t="str">
        <f>IF($B30&gt;'Financial Inputs'!$G$9,"",LOOKUP($B30,'Detailed Cash Flow'!$F$2:$AJ$2,'Detailed Cash Flow'!$F$103:$AJ$103))</f>
        <v/>
      </c>
      <c r="F30" s="120" t="str">
        <f>IF($B30&gt;'Financial Inputs'!$G$9,"",SUM(C30:E30))</f>
        <v/>
      </c>
      <c r="G30" s="120" t="str">
        <f>IF($B30&gt;'Financial Inputs'!$G$9,"",LOOKUP($B30,'Detailed Cash Flow'!$F$2:$AJ$2,'Detailed Cash Flow'!$F$43:$AJ$43))</f>
        <v/>
      </c>
      <c r="H30" s="120" t="str">
        <f>IF($B30&gt;'Financial Inputs'!$G$9,"",LOOKUP($B30,'Detailed Cash Flow'!$F$2:$AJ$2,'Detailed Cash Flow'!$F$44:$AJ$44))</f>
        <v/>
      </c>
      <c r="I30" s="120" t="str">
        <f>IF($B30&gt;'Financial Inputs'!$G$9,"",LOOKUP($B30,'Detailed Cash Flow'!$F$2:$AJ$2,'Detailed Cash Flow'!$F$46:$AJ$46)+LOOKUP($B30,'Detailed Cash Flow'!$F$2:$AJ$2,'Detailed Cash Flow'!#REF!))</f>
        <v/>
      </c>
      <c r="J30" s="120" t="str">
        <f>IF($B30&gt;'Financial Inputs'!$G$9,"",LOOKUP($B30,'Detailed Cash Flow'!$F$2:$AJ$2,'Detailed Cash Flow'!$F$47:$AJ$47)+LOOKUP($B30,'Detailed Cash Flow'!$F$2:$AJ$2,'Detailed Cash Flow'!#REF!))</f>
        <v/>
      </c>
      <c r="K30" s="120" t="str">
        <f>IF($B30&gt;'Financial Inputs'!$G$9,"",F30+I30+J30)</f>
        <v/>
      </c>
      <c r="L30" s="120" t="e">
        <f>IF($B30&gt;'Financial Inputs'!$G$9,L29,L29+K30)</f>
        <v>#REF!</v>
      </c>
      <c r="M30" s="122" t="str">
        <f>IF($B30&gt;'Financial Inputs'!$G$9,"",LOOKUP($B30,'Detailed Cash Flow'!$F$2:$AJ$2,'Detailed Cash Flow'!$F$49:$AJ$49))</f>
        <v/>
      </c>
      <c r="N30" s="123" t="str">
        <f>IF($B30&gt;'Financial Inputs'!$G$9,"",LOOKUP($B30,'Detailed Cash Flow'!$F$2:$AJ$2,'Detailed Cash Flow'!$F$25:$AJ$25))</f>
        <v/>
      </c>
      <c r="P30" s="233" t="str">
        <f>IF($B30&gt;'Financial Inputs'!$G$9,"",C30+I30+J30)</f>
        <v/>
      </c>
      <c r="Q30" s="234" t="str">
        <f>IF($B30&gt;'Financial Inputs'!$G$9,"",-(D30+E30+#REF!))</f>
        <v/>
      </c>
    </row>
    <row r="31" spans="2:17" x14ac:dyDescent="0.2">
      <c r="B31" s="121">
        <v>25</v>
      </c>
      <c r="C31" s="120" t="str">
        <f>IF($B31&gt;'Financial Inputs'!$G$9,"",LOOKUP($B31,'Detailed Cash Flow'!$F$2:$AJ$2,'Detailed Cash Flow'!$F$11:$AJ$11))</f>
        <v/>
      </c>
      <c r="D31" s="120" t="str">
        <f>IF($B31&gt;'Financial Inputs'!$G$9,"",LOOKUP($B31,'Detailed Cash Flow'!$F$2:$AJ$2,'Detailed Cash Flow'!$F$19:$AJ$19))</f>
        <v/>
      </c>
      <c r="E31" s="120" t="str">
        <f>IF($B31&gt;'Financial Inputs'!$G$9,"",LOOKUP($B31,'Detailed Cash Flow'!$F$2:$AJ$2,'Detailed Cash Flow'!$F$103:$AJ$103))</f>
        <v/>
      </c>
      <c r="F31" s="120" t="str">
        <f>IF($B31&gt;'Financial Inputs'!$G$9,"",SUM(C31:E31))</f>
        <v/>
      </c>
      <c r="G31" s="120" t="str">
        <f>IF($B31&gt;'Financial Inputs'!$G$9,"",LOOKUP($B31,'Detailed Cash Flow'!$F$2:$AJ$2,'Detailed Cash Flow'!$F$43:$AJ$43))</f>
        <v/>
      </c>
      <c r="H31" s="120" t="str">
        <f>IF($B31&gt;'Financial Inputs'!$G$9,"",LOOKUP($B31,'Detailed Cash Flow'!$F$2:$AJ$2,'Detailed Cash Flow'!$F$44:$AJ$44))</f>
        <v/>
      </c>
      <c r="I31" s="120" t="str">
        <f>IF($B31&gt;'Financial Inputs'!$G$9,"",LOOKUP($B31,'Detailed Cash Flow'!$F$2:$AJ$2,'Detailed Cash Flow'!$F$46:$AJ$46)+LOOKUP($B31,'Detailed Cash Flow'!$F$2:$AJ$2,'Detailed Cash Flow'!#REF!))</f>
        <v/>
      </c>
      <c r="J31" s="120" t="str">
        <f>IF($B31&gt;'Financial Inputs'!$G$9,"",LOOKUP($B31,'Detailed Cash Flow'!$F$2:$AJ$2,'Detailed Cash Flow'!$F$47:$AJ$47)+LOOKUP($B31,'Detailed Cash Flow'!$F$2:$AJ$2,'Detailed Cash Flow'!#REF!))</f>
        <v/>
      </c>
      <c r="K31" s="120" t="str">
        <f>IF($B31&gt;'Financial Inputs'!$G$9,"",F31+I31+J31)</f>
        <v/>
      </c>
      <c r="L31" s="120" t="e">
        <f>IF($B31&gt;'Financial Inputs'!$G$9,L30,L30+K31)</f>
        <v>#REF!</v>
      </c>
      <c r="M31" s="122" t="str">
        <f>IF($B31&gt;'Financial Inputs'!$G$9,"",LOOKUP($B31,'Detailed Cash Flow'!$F$2:$AJ$2,'Detailed Cash Flow'!$F$49:$AJ$49))</f>
        <v/>
      </c>
      <c r="N31" s="123" t="str">
        <f>IF($B31&gt;'Financial Inputs'!$G$9,"",LOOKUP($B31,'Detailed Cash Flow'!$F$2:$AJ$2,'Detailed Cash Flow'!$F$25:$AJ$25))</f>
        <v/>
      </c>
      <c r="P31" s="233" t="str">
        <f>IF($B31&gt;'Financial Inputs'!$G$9,"",C31+I31+J31)</f>
        <v/>
      </c>
      <c r="Q31" s="234" t="str">
        <f>IF($B31&gt;'Financial Inputs'!$G$9,"",-(D31+E31+#REF!))</f>
        <v/>
      </c>
    </row>
    <row r="32" spans="2:17" x14ac:dyDescent="0.2">
      <c r="B32" s="125">
        <v>26</v>
      </c>
      <c r="C32" s="120" t="str">
        <f>IF($B32&gt;'Financial Inputs'!$G$9,"",LOOKUP($B32,'Detailed Cash Flow'!$F$2:$AJ$2,'Detailed Cash Flow'!$F$11:$AJ$11))</f>
        <v/>
      </c>
      <c r="D32" s="120" t="str">
        <f>IF($B32&gt;'Financial Inputs'!$G$9,"",LOOKUP($B32,'Detailed Cash Flow'!$F$2:$AJ$2,'Detailed Cash Flow'!$F$19:$AJ$19))</f>
        <v/>
      </c>
      <c r="E32" s="120" t="str">
        <f>IF($B32&gt;'Financial Inputs'!$G$9,"",LOOKUP($B32,'Detailed Cash Flow'!$F$2:$AJ$2,'Detailed Cash Flow'!$F$103:$AJ$103))</f>
        <v/>
      </c>
      <c r="F32" s="120" t="str">
        <f>IF($B32&gt;'Financial Inputs'!$G$9,"",SUM(C32:E32))</f>
        <v/>
      </c>
      <c r="G32" s="120" t="str">
        <f>IF($B32&gt;'Financial Inputs'!$G$9,"",LOOKUP($B32,'Detailed Cash Flow'!$F$2:$AJ$2,'Detailed Cash Flow'!$F$43:$AJ$43))</f>
        <v/>
      </c>
      <c r="H32" s="120" t="str">
        <f>IF($B32&gt;'Financial Inputs'!$G$9,"",LOOKUP($B32,'Detailed Cash Flow'!$F$2:$AJ$2,'Detailed Cash Flow'!$F$44:$AJ$44))</f>
        <v/>
      </c>
      <c r="I32" s="120" t="str">
        <f>IF($B32&gt;'Financial Inputs'!$G$9,"",LOOKUP($B32,'Detailed Cash Flow'!$F$2:$AJ$2,'Detailed Cash Flow'!$F$46:$AJ$46)+LOOKUP($B32,'Detailed Cash Flow'!$F$2:$AJ$2,'Detailed Cash Flow'!#REF!))</f>
        <v/>
      </c>
      <c r="J32" s="120" t="str">
        <f>IF($B32&gt;'Financial Inputs'!$G$9,"",LOOKUP($B32,'Detailed Cash Flow'!$F$2:$AJ$2,'Detailed Cash Flow'!$F$47:$AJ$47)+LOOKUP($B32,'Detailed Cash Flow'!$F$2:$AJ$2,'Detailed Cash Flow'!#REF!))</f>
        <v/>
      </c>
      <c r="K32" s="120" t="str">
        <f>IF($B32&gt;'Financial Inputs'!$G$9,"",F32+I32+J32)</f>
        <v/>
      </c>
      <c r="L32" s="120" t="e">
        <f>IF($B32&gt;'Financial Inputs'!$G$9,L31,L31+K32)</f>
        <v>#REF!</v>
      </c>
      <c r="M32" s="122" t="str">
        <f>IF($B32&gt;'Financial Inputs'!$G$9,"",LOOKUP($B32,'Detailed Cash Flow'!$F$2:$AJ$2,'Detailed Cash Flow'!$F$49:$AJ$49))</f>
        <v/>
      </c>
      <c r="N32" s="123" t="str">
        <f>IF($B32&gt;'Financial Inputs'!$G$9,"",LOOKUP($B32,'Detailed Cash Flow'!$F$2:$AJ$2,'Detailed Cash Flow'!$F$25:$AJ$25))</f>
        <v/>
      </c>
      <c r="P32" s="233" t="str">
        <f>IF($B32&gt;'Financial Inputs'!$G$9,"",C32+I32+J32)</f>
        <v/>
      </c>
      <c r="Q32" s="234" t="str">
        <f>IF($B32&gt;'Financial Inputs'!$G$9,"",-(D32+E32+#REF!))</f>
        <v/>
      </c>
    </row>
    <row r="33" spans="2:17" x14ac:dyDescent="0.2">
      <c r="B33" s="121">
        <v>27</v>
      </c>
      <c r="C33" s="120" t="str">
        <f>IF($B33&gt;'Financial Inputs'!$G$9,"",LOOKUP($B33,'Detailed Cash Flow'!$F$2:$AJ$2,'Detailed Cash Flow'!$F$11:$AJ$11))</f>
        <v/>
      </c>
      <c r="D33" s="120" t="str">
        <f>IF($B33&gt;'Financial Inputs'!$G$9,"",LOOKUP($B33,'Detailed Cash Flow'!$F$2:$AJ$2,'Detailed Cash Flow'!$F$19:$AJ$19))</f>
        <v/>
      </c>
      <c r="E33" s="120" t="str">
        <f>IF($B33&gt;'Financial Inputs'!$G$9,"",LOOKUP($B33,'Detailed Cash Flow'!$F$2:$AJ$2,'Detailed Cash Flow'!$F$103:$AJ$103))</f>
        <v/>
      </c>
      <c r="F33" s="120" t="str">
        <f>IF($B33&gt;'Financial Inputs'!$G$9,"",SUM(C33:E33))</f>
        <v/>
      </c>
      <c r="G33" s="120" t="str">
        <f>IF($B33&gt;'Financial Inputs'!$G$9,"",LOOKUP($B33,'Detailed Cash Flow'!$F$2:$AJ$2,'Detailed Cash Flow'!$F$43:$AJ$43))</f>
        <v/>
      </c>
      <c r="H33" s="120" t="str">
        <f>IF($B33&gt;'Financial Inputs'!$G$9,"",LOOKUP($B33,'Detailed Cash Flow'!$F$2:$AJ$2,'Detailed Cash Flow'!$F$44:$AJ$44))</f>
        <v/>
      </c>
      <c r="I33" s="120" t="str">
        <f>IF($B33&gt;'Financial Inputs'!$G$9,"",LOOKUP($B33,'Detailed Cash Flow'!$F$2:$AJ$2,'Detailed Cash Flow'!$F$46:$AJ$46)+LOOKUP($B33,'Detailed Cash Flow'!$F$2:$AJ$2,'Detailed Cash Flow'!#REF!))</f>
        <v/>
      </c>
      <c r="J33" s="120" t="str">
        <f>IF($B33&gt;'Financial Inputs'!$G$9,"",LOOKUP($B33,'Detailed Cash Flow'!$F$2:$AJ$2,'Detailed Cash Flow'!$F$47:$AJ$47)+LOOKUP($B33,'Detailed Cash Flow'!$F$2:$AJ$2,'Detailed Cash Flow'!#REF!))</f>
        <v/>
      </c>
      <c r="K33" s="120" t="str">
        <f>IF($B33&gt;'Financial Inputs'!$G$9,"",F33+I33+J33)</f>
        <v/>
      </c>
      <c r="L33" s="120" t="e">
        <f>IF($B33&gt;'Financial Inputs'!$G$9,L32,L32+K33)</f>
        <v>#REF!</v>
      </c>
      <c r="M33" s="122" t="str">
        <f>IF($B33&gt;'Financial Inputs'!$G$9,"",LOOKUP($B33,'Detailed Cash Flow'!$F$2:$AJ$2,'Detailed Cash Flow'!$F$49:$AJ$49))</f>
        <v/>
      </c>
      <c r="N33" s="123" t="str">
        <f>IF($B33&gt;'Financial Inputs'!$G$9,"",LOOKUP($B33,'Detailed Cash Flow'!$F$2:$AJ$2,'Detailed Cash Flow'!$F$25:$AJ$25))</f>
        <v/>
      </c>
      <c r="P33" s="233" t="str">
        <f>IF($B33&gt;'Financial Inputs'!$G$9,"",C33+I33+J33)</f>
        <v/>
      </c>
      <c r="Q33" s="234" t="str">
        <f>IF($B33&gt;'Financial Inputs'!$G$9,"",-(D33+E33+#REF!))</f>
        <v/>
      </c>
    </row>
    <row r="34" spans="2:17" x14ac:dyDescent="0.2">
      <c r="B34" s="121">
        <v>28</v>
      </c>
      <c r="C34" s="120" t="str">
        <f>IF($B34&gt;'Financial Inputs'!$G$9,"",LOOKUP($B34,'Detailed Cash Flow'!$F$2:$AJ$2,'Detailed Cash Flow'!$F$11:$AJ$11))</f>
        <v/>
      </c>
      <c r="D34" s="120" t="str">
        <f>IF($B34&gt;'Financial Inputs'!$G$9,"",LOOKUP($B34,'Detailed Cash Flow'!$F$2:$AJ$2,'Detailed Cash Flow'!$F$19:$AJ$19))</f>
        <v/>
      </c>
      <c r="E34" s="120" t="str">
        <f>IF($B34&gt;'Financial Inputs'!$G$9,"",LOOKUP($B34,'Detailed Cash Flow'!$F$2:$AJ$2,'Detailed Cash Flow'!$F$103:$AJ$103))</f>
        <v/>
      </c>
      <c r="F34" s="120" t="str">
        <f>IF($B34&gt;'Financial Inputs'!$G$9,"",SUM(C34:E34))</f>
        <v/>
      </c>
      <c r="G34" s="120" t="str">
        <f>IF($B34&gt;'Financial Inputs'!$G$9,"",LOOKUP($B34,'Detailed Cash Flow'!$F$2:$AJ$2,'Detailed Cash Flow'!$F$43:$AJ$43))</f>
        <v/>
      </c>
      <c r="H34" s="120" t="str">
        <f>IF($B34&gt;'Financial Inputs'!$G$9,"",LOOKUP($B34,'Detailed Cash Flow'!$F$2:$AJ$2,'Detailed Cash Flow'!$F$44:$AJ$44))</f>
        <v/>
      </c>
      <c r="I34" s="120" t="str">
        <f>IF($B34&gt;'Financial Inputs'!$G$9,"",LOOKUP($B34,'Detailed Cash Flow'!$F$2:$AJ$2,'Detailed Cash Flow'!$F$46:$AJ$46)+LOOKUP($B34,'Detailed Cash Flow'!$F$2:$AJ$2,'Detailed Cash Flow'!#REF!))</f>
        <v/>
      </c>
      <c r="J34" s="120" t="str">
        <f>IF($B34&gt;'Financial Inputs'!$G$9,"",LOOKUP($B34,'Detailed Cash Flow'!$F$2:$AJ$2,'Detailed Cash Flow'!$F$47:$AJ$47)+LOOKUP($B34,'Detailed Cash Flow'!$F$2:$AJ$2,'Detailed Cash Flow'!#REF!))</f>
        <v/>
      </c>
      <c r="K34" s="120" t="str">
        <f>IF($B34&gt;'Financial Inputs'!$G$9,"",F34+I34+J34)</f>
        <v/>
      </c>
      <c r="L34" s="120" t="e">
        <f>IF($B34&gt;'Financial Inputs'!$G$9,L33,L33+K34)</f>
        <v>#REF!</v>
      </c>
      <c r="M34" s="122" t="str">
        <f>IF($B34&gt;'Financial Inputs'!$G$9,"",LOOKUP($B34,'Detailed Cash Flow'!$F$2:$AJ$2,'Detailed Cash Flow'!$F$49:$AJ$49))</f>
        <v/>
      </c>
      <c r="N34" s="123" t="str">
        <f>IF($B34&gt;'Financial Inputs'!$G$9,"",LOOKUP($B34,'Detailed Cash Flow'!$F$2:$AJ$2,'Detailed Cash Flow'!$F$25:$AJ$25))</f>
        <v/>
      </c>
      <c r="P34" s="233" t="str">
        <f>IF($B34&gt;'Financial Inputs'!$G$9,"",C34+I34+J34)</f>
        <v/>
      </c>
      <c r="Q34" s="234" t="str">
        <f>IF($B34&gt;'Financial Inputs'!$G$9,"",-(D34+E34+#REF!))</f>
        <v/>
      </c>
    </row>
    <row r="35" spans="2:17" x14ac:dyDescent="0.2">
      <c r="B35" s="125">
        <v>29</v>
      </c>
      <c r="C35" s="120" t="str">
        <f>IF($B35&gt;'Financial Inputs'!$G$9,"",LOOKUP($B35,'Detailed Cash Flow'!$F$2:$AJ$2,'Detailed Cash Flow'!$F$11:$AJ$11))</f>
        <v/>
      </c>
      <c r="D35" s="120" t="str">
        <f>IF($B35&gt;'Financial Inputs'!$G$9,"",LOOKUP($B35,'Detailed Cash Flow'!$F$2:$AJ$2,'Detailed Cash Flow'!$F$19:$AJ$19))</f>
        <v/>
      </c>
      <c r="E35" s="120" t="str">
        <f>IF($B35&gt;'Financial Inputs'!$G$9,"",LOOKUP($B35,'Detailed Cash Flow'!$F$2:$AJ$2,'Detailed Cash Flow'!$F$103:$AJ$103))</f>
        <v/>
      </c>
      <c r="F35" s="120" t="str">
        <f>IF($B35&gt;'Financial Inputs'!$G$9,"",SUM(C35:E35))</f>
        <v/>
      </c>
      <c r="G35" s="120" t="str">
        <f>IF($B35&gt;'Financial Inputs'!$G$9,"",LOOKUP($B35,'Detailed Cash Flow'!$F$2:$AJ$2,'Detailed Cash Flow'!$F$43:$AJ$43))</f>
        <v/>
      </c>
      <c r="H35" s="120" t="str">
        <f>IF($B35&gt;'Financial Inputs'!$G$9,"",LOOKUP($B35,'Detailed Cash Flow'!$F$2:$AJ$2,'Detailed Cash Flow'!$F$44:$AJ$44))</f>
        <v/>
      </c>
      <c r="I35" s="120" t="str">
        <f>IF($B35&gt;'Financial Inputs'!$G$9,"",LOOKUP($B35,'Detailed Cash Flow'!$F$2:$AJ$2,'Detailed Cash Flow'!$F$46:$AJ$46)+LOOKUP($B35,'Detailed Cash Flow'!$F$2:$AJ$2,'Detailed Cash Flow'!#REF!))</f>
        <v/>
      </c>
      <c r="J35" s="120" t="str">
        <f>IF($B35&gt;'Financial Inputs'!$G$9,"",LOOKUP($B35,'Detailed Cash Flow'!$F$2:$AJ$2,'Detailed Cash Flow'!$F$47:$AJ$47)+LOOKUP($B35,'Detailed Cash Flow'!$F$2:$AJ$2,'Detailed Cash Flow'!#REF!))</f>
        <v/>
      </c>
      <c r="K35" s="120" t="str">
        <f>IF($B35&gt;'Financial Inputs'!$G$9,"",F35+I35+J35)</f>
        <v/>
      </c>
      <c r="L35" s="120" t="e">
        <f>IF($B35&gt;'Financial Inputs'!$G$9,L34,L34+K35)</f>
        <v>#REF!</v>
      </c>
      <c r="M35" s="122" t="str">
        <f>IF($B35&gt;'Financial Inputs'!$G$9,"",LOOKUP($B35,'Detailed Cash Flow'!$F$2:$AJ$2,'Detailed Cash Flow'!$F$49:$AJ$49))</f>
        <v/>
      </c>
      <c r="N35" s="123" t="str">
        <f>IF($B35&gt;'Financial Inputs'!$G$9,"",LOOKUP($B35,'Detailed Cash Flow'!$F$2:$AJ$2,'Detailed Cash Flow'!$F$25:$AJ$25))</f>
        <v/>
      </c>
      <c r="P35" s="233" t="str">
        <f>IF($B35&gt;'Financial Inputs'!$G$9,"",C35+I35+J35)</f>
        <v/>
      </c>
      <c r="Q35" s="234" t="str">
        <f>IF($B35&gt;'Financial Inputs'!$G$9,"",-(D35+E35+#REF!))</f>
        <v/>
      </c>
    </row>
    <row r="36" spans="2:17" x14ac:dyDescent="0.2">
      <c r="B36" s="121">
        <v>30</v>
      </c>
      <c r="C36" s="120" t="str">
        <f>IF($B36&gt;'Financial Inputs'!$G$9,"",LOOKUP($B36,'Detailed Cash Flow'!$F$2:$AJ$2,'Detailed Cash Flow'!$F$11:$AJ$11))</f>
        <v/>
      </c>
      <c r="D36" s="120" t="str">
        <f>IF($B36&gt;'Financial Inputs'!$G$9,"",LOOKUP($B36,'Detailed Cash Flow'!$F$2:$AJ$2,'Detailed Cash Flow'!$F$19:$AJ$19))</f>
        <v/>
      </c>
      <c r="E36" s="120" t="str">
        <f>IF($B36&gt;'Financial Inputs'!$G$9,"",LOOKUP($B36,'Detailed Cash Flow'!$F$2:$AJ$2,'Detailed Cash Flow'!$F$103:$AJ$103))</f>
        <v/>
      </c>
      <c r="F36" s="120" t="str">
        <f>IF($B36&gt;'Financial Inputs'!$G$9,"",SUM(C36:E36))</f>
        <v/>
      </c>
      <c r="G36" s="120" t="str">
        <f>IF($B36&gt;'Financial Inputs'!$G$9,"",LOOKUP($B36,'Detailed Cash Flow'!$F$2:$AJ$2,'Detailed Cash Flow'!$F$43:$AJ$43))</f>
        <v/>
      </c>
      <c r="H36" s="120" t="str">
        <f>IF($B36&gt;'Financial Inputs'!$G$9,"",LOOKUP($B36,'Detailed Cash Flow'!$F$2:$AJ$2,'Detailed Cash Flow'!$F$44:$AJ$44))</f>
        <v/>
      </c>
      <c r="I36" s="120" t="str">
        <f>IF($B36&gt;'Financial Inputs'!$G$9,"",LOOKUP($B36,'Detailed Cash Flow'!$F$2:$AJ$2,'Detailed Cash Flow'!$F$46:$AJ$46)+LOOKUP($B36,'Detailed Cash Flow'!$F$2:$AJ$2,'Detailed Cash Flow'!#REF!))</f>
        <v/>
      </c>
      <c r="J36" s="120" t="str">
        <f>IF($B36&gt;'Financial Inputs'!$G$9,"",LOOKUP($B36,'Detailed Cash Flow'!$F$2:$AJ$2,'Detailed Cash Flow'!$F$47:$AJ$47)+LOOKUP($B36,'Detailed Cash Flow'!$F$2:$AJ$2,'Detailed Cash Flow'!#REF!))</f>
        <v/>
      </c>
      <c r="K36" s="120" t="str">
        <f>IF($B36&gt;'Financial Inputs'!$G$9,"",F36+I36+J36)</f>
        <v/>
      </c>
      <c r="L36" s="120" t="e">
        <f>IF($B36&gt;'Financial Inputs'!$G$9,L35,L35+K36)</f>
        <v>#REF!</v>
      </c>
      <c r="M36" s="122" t="str">
        <f>IF($B36&gt;'Financial Inputs'!$G$9,"",LOOKUP($B36,'Detailed Cash Flow'!$F$2:$AJ$2,'Detailed Cash Flow'!$F$49:$AJ$49))</f>
        <v/>
      </c>
      <c r="N36" s="123" t="str">
        <f>IF($B36&gt;'Financial Inputs'!$G$9,"",LOOKUP($B36,'Detailed Cash Flow'!$F$2:$AJ$2,'Detailed Cash Flow'!$F$25:$AJ$25))</f>
        <v/>
      </c>
      <c r="P36" s="233" t="str">
        <f>IF($B36&gt;'Financial Inputs'!$G$9,"",C36+I36+J36)</f>
        <v/>
      </c>
      <c r="Q36" s="234" t="str">
        <f>IF($B36&gt;'Financial Inputs'!$G$9,"",-(D36+E36+#REF!))</f>
        <v/>
      </c>
    </row>
    <row r="37" spans="2:17" x14ac:dyDescent="0.2">
      <c r="B37" s="126"/>
      <c r="C37" s="127"/>
      <c r="D37" s="127"/>
      <c r="E37" s="127"/>
      <c r="F37" s="127"/>
      <c r="G37" s="127"/>
      <c r="H37" s="127"/>
      <c r="I37" s="127"/>
      <c r="J37" s="127"/>
      <c r="K37" s="137"/>
      <c r="L37" s="137"/>
      <c r="M37" s="137"/>
      <c r="N37" s="138"/>
      <c r="P37" s="235"/>
      <c r="Q37" s="236"/>
    </row>
    <row r="38" spans="2:17" x14ac:dyDescent="0.2">
      <c r="K38" s="139"/>
      <c r="L38" s="139"/>
      <c r="M38" s="139"/>
      <c r="N38" s="139"/>
      <c r="P38" s="450"/>
      <c r="Q38" s="450"/>
    </row>
    <row r="39" spans="2:17" x14ac:dyDescent="0.2">
      <c r="K39" s="139"/>
      <c r="L39" s="139"/>
      <c r="M39" s="139"/>
      <c r="N39" s="139"/>
      <c r="P39" s="450"/>
      <c r="Q39" s="450"/>
    </row>
    <row r="40" spans="2:17" ht="15" x14ac:dyDescent="0.2">
      <c r="B40" s="1" t="s">
        <v>349</v>
      </c>
      <c r="K40" s="139"/>
      <c r="L40" s="139"/>
      <c r="M40" s="139"/>
      <c r="N40" s="139"/>
      <c r="P40" s="450"/>
      <c r="Q40" s="450"/>
    </row>
    <row r="41" spans="2:17" x14ac:dyDescent="0.2">
      <c r="K41" s="139"/>
      <c r="L41" s="139"/>
      <c r="M41" s="139"/>
      <c r="N41" s="139"/>
      <c r="P41" s="450"/>
      <c r="Q41" s="450"/>
    </row>
    <row r="42" spans="2:17" x14ac:dyDescent="0.2">
      <c r="K42" s="139"/>
      <c r="L42" s="139"/>
      <c r="M42" s="139"/>
      <c r="N42" s="139"/>
    </row>
  </sheetData>
  <sheetProtection sheet="1" objects="1" scenarios="1"/>
  <mergeCells count="3">
    <mergeCell ref="P4:P5"/>
    <mergeCell ref="Q4:Q5"/>
    <mergeCell ref="P3:Q3"/>
  </mergeCells>
  <conditionalFormatting sqref="L7:L36">
    <cfRule type="expression" dxfId="1" priority="1">
      <formula>$L7=$L6</formula>
    </cfRule>
  </conditionalFormatting>
  <pageMargins left="0.7" right="0.7" top="0.75" bottom="0.75" header="0.3" footer="0.3"/>
  <pageSetup orientation="portrait" horizontalDpi="4294967293" verticalDpi="0"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K184"/>
  <sheetViews>
    <sheetView workbookViewId="0"/>
  </sheetViews>
  <sheetFormatPr defaultColWidth="8.85546875" defaultRowHeight="15" x14ac:dyDescent="0.25"/>
  <cols>
    <col min="1" max="1" width="5.42578125" customWidth="1"/>
    <col min="2" max="2" width="56.42578125" customWidth="1"/>
    <col min="3" max="3" width="15.28515625" customWidth="1"/>
    <col min="4" max="4" width="16" customWidth="1"/>
    <col min="5" max="5" width="15.28515625" customWidth="1"/>
    <col min="6" max="6" width="15.85546875" customWidth="1"/>
    <col min="7" max="7" width="18.7109375" bestFit="1" customWidth="1"/>
    <col min="8" max="13" width="14.85546875" bestFit="1" customWidth="1"/>
    <col min="14" max="14" width="16" customWidth="1"/>
    <col min="15" max="17" width="13.7109375" customWidth="1"/>
    <col min="18" max="18" width="18.85546875" customWidth="1"/>
    <col min="19" max="24" width="13.7109375" customWidth="1"/>
    <col min="25" max="25" width="15.7109375" customWidth="1"/>
    <col min="26" max="36" width="13.7109375" customWidth="1"/>
    <col min="37" max="37" width="9.140625"/>
    <col min="38" max="38" width="10.85546875" bestFit="1" customWidth="1"/>
    <col min="39" max="228" width="9.140625"/>
    <col min="229" max="229" width="5.42578125" customWidth="1"/>
    <col min="230" max="230" width="56.42578125" customWidth="1"/>
    <col min="231" max="231" width="15.28515625" customWidth="1"/>
    <col min="232" max="232" width="15.85546875" customWidth="1"/>
    <col min="233" max="233" width="15.140625" customWidth="1"/>
    <col min="234" max="292" width="13.7109375" customWidth="1"/>
    <col min="293" max="484" width="9.140625"/>
    <col min="485" max="485" width="5.42578125" customWidth="1"/>
    <col min="486" max="486" width="56.42578125" customWidth="1"/>
    <col min="487" max="487" width="15.28515625" customWidth="1"/>
    <col min="488" max="488" width="15.85546875" customWidth="1"/>
    <col min="489" max="489" width="15.140625" customWidth="1"/>
    <col min="490" max="548" width="13.7109375" customWidth="1"/>
    <col min="549" max="740" width="9.140625"/>
    <col min="741" max="741" width="5.42578125" customWidth="1"/>
    <col min="742" max="742" width="56.42578125" customWidth="1"/>
    <col min="743" max="743" width="15.28515625" customWidth="1"/>
    <col min="744" max="744" width="15.85546875" customWidth="1"/>
    <col min="745" max="745" width="15.140625" customWidth="1"/>
    <col min="746" max="804" width="13.7109375" customWidth="1"/>
    <col min="805" max="996" width="9.140625"/>
    <col min="997" max="997" width="5.42578125" customWidth="1"/>
    <col min="998" max="998" width="56.42578125" customWidth="1"/>
    <col min="999" max="999" width="15.28515625" customWidth="1"/>
    <col min="1000" max="1000" width="15.85546875" customWidth="1"/>
    <col min="1001" max="1001" width="15.140625" customWidth="1"/>
    <col min="1002" max="1060" width="13.7109375" customWidth="1"/>
    <col min="1061" max="1252" width="9.140625"/>
    <col min="1253" max="1253" width="5.42578125" customWidth="1"/>
    <col min="1254" max="1254" width="56.42578125" customWidth="1"/>
    <col min="1255" max="1255" width="15.28515625" customWidth="1"/>
    <col min="1256" max="1256" width="15.85546875" customWidth="1"/>
    <col min="1257" max="1257" width="15.140625" customWidth="1"/>
    <col min="1258" max="1316" width="13.7109375" customWidth="1"/>
    <col min="1317" max="1508" width="9.140625"/>
    <col min="1509" max="1509" width="5.42578125" customWidth="1"/>
    <col min="1510" max="1510" width="56.42578125" customWidth="1"/>
    <col min="1511" max="1511" width="15.28515625" customWidth="1"/>
    <col min="1512" max="1512" width="15.85546875" customWidth="1"/>
    <col min="1513" max="1513" width="15.140625" customWidth="1"/>
    <col min="1514" max="1572" width="13.7109375" customWidth="1"/>
    <col min="1573" max="1764" width="9.140625"/>
    <col min="1765" max="1765" width="5.42578125" customWidth="1"/>
    <col min="1766" max="1766" width="56.42578125" customWidth="1"/>
    <col min="1767" max="1767" width="15.28515625" customWidth="1"/>
    <col min="1768" max="1768" width="15.85546875" customWidth="1"/>
    <col min="1769" max="1769" width="15.140625" customWidth="1"/>
    <col min="1770" max="1828" width="13.7109375" customWidth="1"/>
    <col min="1829" max="2020" width="9.140625"/>
    <col min="2021" max="2021" width="5.42578125" customWidth="1"/>
    <col min="2022" max="2022" width="56.42578125" customWidth="1"/>
    <col min="2023" max="2023" width="15.28515625" customWidth="1"/>
    <col min="2024" max="2024" width="15.85546875" customWidth="1"/>
    <col min="2025" max="2025" width="15.140625" customWidth="1"/>
    <col min="2026" max="2084" width="13.7109375" customWidth="1"/>
    <col min="2085" max="2276" width="9.140625"/>
    <col min="2277" max="2277" width="5.42578125" customWidth="1"/>
    <col min="2278" max="2278" width="56.42578125" customWidth="1"/>
    <col min="2279" max="2279" width="15.28515625" customWidth="1"/>
    <col min="2280" max="2280" width="15.85546875" customWidth="1"/>
    <col min="2281" max="2281" width="15.140625" customWidth="1"/>
    <col min="2282" max="2340" width="13.7109375" customWidth="1"/>
    <col min="2341" max="2532" width="9.140625"/>
    <col min="2533" max="2533" width="5.42578125" customWidth="1"/>
    <col min="2534" max="2534" width="56.42578125" customWidth="1"/>
    <col min="2535" max="2535" width="15.28515625" customWidth="1"/>
    <col min="2536" max="2536" width="15.85546875" customWidth="1"/>
    <col min="2537" max="2537" width="15.140625" customWidth="1"/>
    <col min="2538" max="2596" width="13.7109375" customWidth="1"/>
    <col min="2597" max="2788" width="9.140625"/>
    <col min="2789" max="2789" width="5.42578125" customWidth="1"/>
    <col min="2790" max="2790" width="56.42578125" customWidth="1"/>
    <col min="2791" max="2791" width="15.28515625" customWidth="1"/>
    <col min="2792" max="2792" width="15.85546875" customWidth="1"/>
    <col min="2793" max="2793" width="15.140625" customWidth="1"/>
    <col min="2794" max="2852" width="13.7109375" customWidth="1"/>
    <col min="2853" max="3044" width="9.140625"/>
    <col min="3045" max="3045" width="5.42578125" customWidth="1"/>
    <col min="3046" max="3046" width="56.42578125" customWidth="1"/>
    <col min="3047" max="3047" width="15.28515625" customWidth="1"/>
    <col min="3048" max="3048" width="15.85546875" customWidth="1"/>
    <col min="3049" max="3049" width="15.140625" customWidth="1"/>
    <col min="3050" max="3108" width="13.7109375" customWidth="1"/>
    <col min="3109" max="3300" width="9.140625"/>
    <col min="3301" max="3301" width="5.42578125" customWidth="1"/>
    <col min="3302" max="3302" width="56.42578125" customWidth="1"/>
    <col min="3303" max="3303" width="15.28515625" customWidth="1"/>
    <col min="3304" max="3304" width="15.85546875" customWidth="1"/>
    <col min="3305" max="3305" width="15.140625" customWidth="1"/>
    <col min="3306" max="3364" width="13.7109375" customWidth="1"/>
    <col min="3365" max="3556" width="9.140625"/>
    <col min="3557" max="3557" width="5.42578125" customWidth="1"/>
    <col min="3558" max="3558" width="56.42578125" customWidth="1"/>
    <col min="3559" max="3559" width="15.28515625" customWidth="1"/>
    <col min="3560" max="3560" width="15.85546875" customWidth="1"/>
    <col min="3561" max="3561" width="15.140625" customWidth="1"/>
    <col min="3562" max="3620" width="13.7109375" customWidth="1"/>
    <col min="3621" max="3812" width="9.140625"/>
    <col min="3813" max="3813" width="5.42578125" customWidth="1"/>
    <col min="3814" max="3814" width="56.42578125" customWidth="1"/>
    <col min="3815" max="3815" width="15.28515625" customWidth="1"/>
    <col min="3816" max="3816" width="15.85546875" customWidth="1"/>
    <col min="3817" max="3817" width="15.140625" customWidth="1"/>
    <col min="3818" max="3876" width="13.7109375" customWidth="1"/>
    <col min="3877" max="4068" width="9.140625"/>
    <col min="4069" max="4069" width="5.42578125" customWidth="1"/>
    <col min="4070" max="4070" width="56.42578125" customWidth="1"/>
    <col min="4071" max="4071" width="15.28515625" customWidth="1"/>
    <col min="4072" max="4072" width="15.85546875" customWidth="1"/>
    <col min="4073" max="4073" width="15.140625" customWidth="1"/>
    <col min="4074" max="4132" width="13.7109375" customWidth="1"/>
    <col min="4133" max="4324" width="9.140625"/>
    <col min="4325" max="4325" width="5.42578125" customWidth="1"/>
    <col min="4326" max="4326" width="56.42578125" customWidth="1"/>
    <col min="4327" max="4327" width="15.28515625" customWidth="1"/>
    <col min="4328" max="4328" width="15.85546875" customWidth="1"/>
    <col min="4329" max="4329" width="15.140625" customWidth="1"/>
    <col min="4330" max="4388" width="13.7109375" customWidth="1"/>
    <col min="4389" max="4580" width="9.140625"/>
    <col min="4581" max="4581" width="5.42578125" customWidth="1"/>
    <col min="4582" max="4582" width="56.42578125" customWidth="1"/>
    <col min="4583" max="4583" width="15.28515625" customWidth="1"/>
    <col min="4584" max="4584" width="15.85546875" customWidth="1"/>
    <col min="4585" max="4585" width="15.140625" customWidth="1"/>
    <col min="4586" max="4644" width="13.7109375" customWidth="1"/>
    <col min="4645" max="4836" width="9.140625"/>
    <col min="4837" max="4837" width="5.42578125" customWidth="1"/>
    <col min="4838" max="4838" width="56.42578125" customWidth="1"/>
    <col min="4839" max="4839" width="15.28515625" customWidth="1"/>
    <col min="4840" max="4840" width="15.85546875" customWidth="1"/>
    <col min="4841" max="4841" width="15.140625" customWidth="1"/>
    <col min="4842" max="4900" width="13.7109375" customWidth="1"/>
    <col min="4901" max="5092" width="9.140625"/>
    <col min="5093" max="5093" width="5.42578125" customWidth="1"/>
    <col min="5094" max="5094" width="56.42578125" customWidth="1"/>
    <col min="5095" max="5095" width="15.28515625" customWidth="1"/>
    <col min="5096" max="5096" width="15.85546875" customWidth="1"/>
    <col min="5097" max="5097" width="15.140625" customWidth="1"/>
    <col min="5098" max="5156" width="13.7109375" customWidth="1"/>
    <col min="5157" max="5348" width="9.140625"/>
    <col min="5349" max="5349" width="5.42578125" customWidth="1"/>
    <col min="5350" max="5350" width="56.42578125" customWidth="1"/>
    <col min="5351" max="5351" width="15.28515625" customWidth="1"/>
    <col min="5352" max="5352" width="15.85546875" customWidth="1"/>
    <col min="5353" max="5353" width="15.140625" customWidth="1"/>
    <col min="5354" max="5412" width="13.7109375" customWidth="1"/>
    <col min="5413" max="5604" width="9.140625"/>
    <col min="5605" max="5605" width="5.42578125" customWidth="1"/>
    <col min="5606" max="5606" width="56.42578125" customWidth="1"/>
    <col min="5607" max="5607" width="15.28515625" customWidth="1"/>
    <col min="5608" max="5608" width="15.85546875" customWidth="1"/>
    <col min="5609" max="5609" width="15.140625" customWidth="1"/>
    <col min="5610" max="5668" width="13.7109375" customWidth="1"/>
    <col min="5669" max="5860" width="9.140625"/>
    <col min="5861" max="5861" width="5.42578125" customWidth="1"/>
    <col min="5862" max="5862" width="56.42578125" customWidth="1"/>
    <col min="5863" max="5863" width="15.28515625" customWidth="1"/>
    <col min="5864" max="5864" width="15.85546875" customWidth="1"/>
    <col min="5865" max="5865" width="15.140625" customWidth="1"/>
    <col min="5866" max="5924" width="13.7109375" customWidth="1"/>
    <col min="5925" max="6116" width="9.140625"/>
    <col min="6117" max="6117" width="5.42578125" customWidth="1"/>
    <col min="6118" max="6118" width="56.42578125" customWidth="1"/>
    <col min="6119" max="6119" width="15.28515625" customWidth="1"/>
    <col min="6120" max="6120" width="15.85546875" customWidth="1"/>
    <col min="6121" max="6121" width="15.140625" customWidth="1"/>
    <col min="6122" max="6180" width="13.7109375" customWidth="1"/>
    <col min="6181" max="6372" width="9.140625"/>
    <col min="6373" max="6373" width="5.42578125" customWidth="1"/>
    <col min="6374" max="6374" width="56.42578125" customWidth="1"/>
    <col min="6375" max="6375" width="15.28515625" customWidth="1"/>
    <col min="6376" max="6376" width="15.85546875" customWidth="1"/>
    <col min="6377" max="6377" width="15.140625" customWidth="1"/>
    <col min="6378" max="6436" width="13.7109375" customWidth="1"/>
    <col min="6437" max="6628" width="9.140625"/>
    <col min="6629" max="6629" width="5.42578125" customWidth="1"/>
    <col min="6630" max="6630" width="56.42578125" customWidth="1"/>
    <col min="6631" max="6631" width="15.28515625" customWidth="1"/>
    <col min="6632" max="6632" width="15.85546875" customWidth="1"/>
    <col min="6633" max="6633" width="15.140625" customWidth="1"/>
    <col min="6634" max="6692" width="13.7109375" customWidth="1"/>
    <col min="6693" max="6884" width="9.140625"/>
    <col min="6885" max="6885" width="5.42578125" customWidth="1"/>
    <col min="6886" max="6886" width="56.42578125" customWidth="1"/>
    <col min="6887" max="6887" width="15.28515625" customWidth="1"/>
    <col min="6888" max="6888" width="15.85546875" customWidth="1"/>
    <col min="6889" max="6889" width="15.140625" customWidth="1"/>
    <col min="6890" max="6948" width="13.7109375" customWidth="1"/>
    <col min="6949" max="7140" width="9.140625"/>
    <col min="7141" max="7141" width="5.42578125" customWidth="1"/>
    <col min="7142" max="7142" width="56.42578125" customWidth="1"/>
    <col min="7143" max="7143" width="15.28515625" customWidth="1"/>
    <col min="7144" max="7144" width="15.85546875" customWidth="1"/>
    <col min="7145" max="7145" width="15.140625" customWidth="1"/>
    <col min="7146" max="7204" width="13.7109375" customWidth="1"/>
    <col min="7205" max="7396" width="9.140625"/>
    <col min="7397" max="7397" width="5.42578125" customWidth="1"/>
    <col min="7398" max="7398" width="56.42578125" customWidth="1"/>
    <col min="7399" max="7399" width="15.28515625" customWidth="1"/>
    <col min="7400" max="7400" width="15.85546875" customWidth="1"/>
    <col min="7401" max="7401" width="15.140625" customWidth="1"/>
    <col min="7402" max="7460" width="13.7109375" customWidth="1"/>
    <col min="7461" max="7652" width="9.140625"/>
    <col min="7653" max="7653" width="5.42578125" customWidth="1"/>
    <col min="7654" max="7654" width="56.42578125" customWidth="1"/>
    <col min="7655" max="7655" width="15.28515625" customWidth="1"/>
    <col min="7656" max="7656" width="15.85546875" customWidth="1"/>
    <col min="7657" max="7657" width="15.140625" customWidth="1"/>
    <col min="7658" max="7716" width="13.7109375" customWidth="1"/>
    <col min="7717" max="7908" width="9.140625"/>
    <col min="7909" max="7909" width="5.42578125" customWidth="1"/>
    <col min="7910" max="7910" width="56.42578125" customWidth="1"/>
    <col min="7911" max="7911" width="15.28515625" customWidth="1"/>
    <col min="7912" max="7912" width="15.85546875" customWidth="1"/>
    <col min="7913" max="7913" width="15.140625" customWidth="1"/>
    <col min="7914" max="7972" width="13.7109375" customWidth="1"/>
    <col min="7973" max="8164" width="9.140625"/>
    <col min="8165" max="8165" width="5.42578125" customWidth="1"/>
    <col min="8166" max="8166" width="56.42578125" customWidth="1"/>
    <col min="8167" max="8167" width="15.28515625" customWidth="1"/>
    <col min="8168" max="8168" width="15.85546875" customWidth="1"/>
    <col min="8169" max="8169" width="15.140625" customWidth="1"/>
    <col min="8170" max="8228" width="13.7109375" customWidth="1"/>
    <col min="8229" max="8420" width="9.140625"/>
    <col min="8421" max="8421" width="5.42578125" customWidth="1"/>
    <col min="8422" max="8422" width="56.42578125" customWidth="1"/>
    <col min="8423" max="8423" width="15.28515625" customWidth="1"/>
    <col min="8424" max="8424" width="15.85546875" customWidth="1"/>
    <col min="8425" max="8425" width="15.140625" customWidth="1"/>
    <col min="8426" max="8484" width="13.7109375" customWidth="1"/>
    <col min="8485" max="8676" width="9.140625"/>
    <col min="8677" max="8677" width="5.42578125" customWidth="1"/>
    <col min="8678" max="8678" width="56.42578125" customWidth="1"/>
    <col min="8679" max="8679" width="15.28515625" customWidth="1"/>
    <col min="8680" max="8680" width="15.85546875" customWidth="1"/>
    <col min="8681" max="8681" width="15.140625" customWidth="1"/>
    <col min="8682" max="8740" width="13.7109375" customWidth="1"/>
    <col min="8741" max="8932" width="9.140625"/>
    <col min="8933" max="8933" width="5.42578125" customWidth="1"/>
    <col min="8934" max="8934" width="56.42578125" customWidth="1"/>
    <col min="8935" max="8935" width="15.28515625" customWidth="1"/>
    <col min="8936" max="8936" width="15.85546875" customWidth="1"/>
    <col min="8937" max="8937" width="15.140625" customWidth="1"/>
    <col min="8938" max="8996" width="13.7109375" customWidth="1"/>
    <col min="8997" max="9188" width="9.140625"/>
    <col min="9189" max="9189" width="5.42578125" customWidth="1"/>
    <col min="9190" max="9190" width="56.42578125" customWidth="1"/>
    <col min="9191" max="9191" width="15.28515625" customWidth="1"/>
    <col min="9192" max="9192" width="15.85546875" customWidth="1"/>
    <col min="9193" max="9193" width="15.140625" customWidth="1"/>
    <col min="9194" max="9252" width="13.7109375" customWidth="1"/>
    <col min="9253" max="9444" width="9.140625"/>
    <col min="9445" max="9445" width="5.42578125" customWidth="1"/>
    <col min="9446" max="9446" width="56.42578125" customWidth="1"/>
    <col min="9447" max="9447" width="15.28515625" customWidth="1"/>
    <col min="9448" max="9448" width="15.85546875" customWidth="1"/>
    <col min="9449" max="9449" width="15.140625" customWidth="1"/>
    <col min="9450" max="9508" width="13.7109375" customWidth="1"/>
    <col min="9509" max="9700" width="9.140625"/>
    <col min="9701" max="9701" width="5.42578125" customWidth="1"/>
    <col min="9702" max="9702" width="56.42578125" customWidth="1"/>
    <col min="9703" max="9703" width="15.28515625" customWidth="1"/>
    <col min="9704" max="9704" width="15.85546875" customWidth="1"/>
    <col min="9705" max="9705" width="15.140625" customWidth="1"/>
    <col min="9706" max="9764" width="13.7109375" customWidth="1"/>
    <col min="9765" max="9956" width="9.140625"/>
    <col min="9957" max="9957" width="5.42578125" customWidth="1"/>
    <col min="9958" max="9958" width="56.42578125" customWidth="1"/>
    <col min="9959" max="9959" width="15.28515625" customWidth="1"/>
    <col min="9960" max="9960" width="15.85546875" customWidth="1"/>
    <col min="9961" max="9961" width="15.140625" customWidth="1"/>
    <col min="9962" max="10020" width="13.7109375" customWidth="1"/>
    <col min="10021" max="10212" width="9.140625"/>
    <col min="10213" max="10213" width="5.42578125" customWidth="1"/>
    <col min="10214" max="10214" width="56.42578125" customWidth="1"/>
    <col min="10215" max="10215" width="15.28515625" customWidth="1"/>
    <col min="10216" max="10216" width="15.85546875" customWidth="1"/>
    <col min="10217" max="10217" width="15.140625" customWidth="1"/>
    <col min="10218" max="10276" width="13.7109375" customWidth="1"/>
    <col min="10277" max="10468" width="9.140625"/>
    <col min="10469" max="10469" width="5.42578125" customWidth="1"/>
    <col min="10470" max="10470" width="56.42578125" customWidth="1"/>
    <col min="10471" max="10471" width="15.28515625" customWidth="1"/>
    <col min="10472" max="10472" width="15.85546875" customWidth="1"/>
    <col min="10473" max="10473" width="15.140625" customWidth="1"/>
    <col min="10474" max="10532" width="13.7109375" customWidth="1"/>
    <col min="10533" max="10724" width="9.140625"/>
    <col min="10725" max="10725" width="5.42578125" customWidth="1"/>
    <col min="10726" max="10726" width="56.42578125" customWidth="1"/>
    <col min="10727" max="10727" width="15.28515625" customWidth="1"/>
    <col min="10728" max="10728" width="15.85546875" customWidth="1"/>
    <col min="10729" max="10729" width="15.140625" customWidth="1"/>
    <col min="10730" max="10788" width="13.7109375" customWidth="1"/>
    <col min="10789" max="10980" width="9.140625"/>
    <col min="10981" max="10981" width="5.42578125" customWidth="1"/>
    <col min="10982" max="10982" width="56.42578125" customWidth="1"/>
    <col min="10983" max="10983" width="15.28515625" customWidth="1"/>
    <col min="10984" max="10984" width="15.85546875" customWidth="1"/>
    <col min="10985" max="10985" width="15.140625" customWidth="1"/>
    <col min="10986" max="11044" width="13.7109375" customWidth="1"/>
    <col min="11045" max="11236" width="9.140625"/>
    <col min="11237" max="11237" width="5.42578125" customWidth="1"/>
    <col min="11238" max="11238" width="56.42578125" customWidth="1"/>
    <col min="11239" max="11239" width="15.28515625" customWidth="1"/>
    <col min="11240" max="11240" width="15.85546875" customWidth="1"/>
    <col min="11241" max="11241" width="15.140625" customWidth="1"/>
    <col min="11242" max="11300" width="13.7109375" customWidth="1"/>
    <col min="11301" max="11492" width="9.140625"/>
    <col min="11493" max="11493" width="5.42578125" customWidth="1"/>
    <col min="11494" max="11494" width="56.42578125" customWidth="1"/>
    <col min="11495" max="11495" width="15.28515625" customWidth="1"/>
    <col min="11496" max="11496" width="15.85546875" customWidth="1"/>
    <col min="11497" max="11497" width="15.140625" customWidth="1"/>
    <col min="11498" max="11556" width="13.7109375" customWidth="1"/>
    <col min="11557" max="11748" width="9.140625"/>
    <col min="11749" max="11749" width="5.42578125" customWidth="1"/>
    <col min="11750" max="11750" width="56.42578125" customWidth="1"/>
    <col min="11751" max="11751" width="15.28515625" customWidth="1"/>
    <col min="11752" max="11752" width="15.85546875" customWidth="1"/>
    <col min="11753" max="11753" width="15.140625" customWidth="1"/>
    <col min="11754" max="11812" width="13.7109375" customWidth="1"/>
    <col min="11813" max="12004" width="9.140625"/>
    <col min="12005" max="12005" width="5.42578125" customWidth="1"/>
    <col min="12006" max="12006" width="56.42578125" customWidth="1"/>
    <col min="12007" max="12007" width="15.28515625" customWidth="1"/>
    <col min="12008" max="12008" width="15.85546875" customWidth="1"/>
    <col min="12009" max="12009" width="15.140625" customWidth="1"/>
    <col min="12010" max="12068" width="13.7109375" customWidth="1"/>
    <col min="12069" max="12260" width="9.140625"/>
    <col min="12261" max="12261" width="5.42578125" customWidth="1"/>
    <col min="12262" max="12262" width="56.42578125" customWidth="1"/>
    <col min="12263" max="12263" width="15.28515625" customWidth="1"/>
    <col min="12264" max="12264" width="15.85546875" customWidth="1"/>
    <col min="12265" max="12265" width="15.140625" customWidth="1"/>
    <col min="12266" max="12324" width="13.7109375" customWidth="1"/>
    <col min="12325" max="12516" width="9.140625"/>
    <col min="12517" max="12517" width="5.42578125" customWidth="1"/>
    <col min="12518" max="12518" width="56.42578125" customWidth="1"/>
    <col min="12519" max="12519" width="15.28515625" customWidth="1"/>
    <col min="12520" max="12520" width="15.85546875" customWidth="1"/>
    <col min="12521" max="12521" width="15.140625" customWidth="1"/>
    <col min="12522" max="12580" width="13.7109375" customWidth="1"/>
    <col min="12581" max="12772" width="9.140625"/>
    <col min="12773" max="12773" width="5.42578125" customWidth="1"/>
    <col min="12774" max="12774" width="56.42578125" customWidth="1"/>
    <col min="12775" max="12775" width="15.28515625" customWidth="1"/>
    <col min="12776" max="12776" width="15.85546875" customWidth="1"/>
    <col min="12777" max="12777" width="15.140625" customWidth="1"/>
    <col min="12778" max="12836" width="13.7109375" customWidth="1"/>
    <col min="12837" max="13028" width="9.140625"/>
    <col min="13029" max="13029" width="5.42578125" customWidth="1"/>
    <col min="13030" max="13030" width="56.42578125" customWidth="1"/>
    <col min="13031" max="13031" width="15.28515625" customWidth="1"/>
    <col min="13032" max="13032" width="15.85546875" customWidth="1"/>
    <col min="13033" max="13033" width="15.140625" customWidth="1"/>
    <col min="13034" max="13092" width="13.7109375" customWidth="1"/>
    <col min="13093" max="13284" width="9.140625"/>
    <col min="13285" max="13285" width="5.42578125" customWidth="1"/>
    <col min="13286" max="13286" width="56.42578125" customWidth="1"/>
    <col min="13287" max="13287" width="15.28515625" customWidth="1"/>
    <col min="13288" max="13288" width="15.85546875" customWidth="1"/>
    <col min="13289" max="13289" width="15.140625" customWidth="1"/>
    <col min="13290" max="13348" width="13.7109375" customWidth="1"/>
    <col min="13349" max="13540" width="9.140625"/>
    <col min="13541" max="13541" width="5.42578125" customWidth="1"/>
    <col min="13542" max="13542" width="56.42578125" customWidth="1"/>
    <col min="13543" max="13543" width="15.28515625" customWidth="1"/>
    <col min="13544" max="13544" width="15.85546875" customWidth="1"/>
    <col min="13545" max="13545" width="15.140625" customWidth="1"/>
    <col min="13546" max="13604" width="13.7109375" customWidth="1"/>
    <col min="13605" max="13796" width="9.140625"/>
    <col min="13797" max="13797" width="5.42578125" customWidth="1"/>
    <col min="13798" max="13798" width="56.42578125" customWidth="1"/>
    <col min="13799" max="13799" width="15.28515625" customWidth="1"/>
    <col min="13800" max="13800" width="15.85546875" customWidth="1"/>
    <col min="13801" max="13801" width="15.140625" customWidth="1"/>
    <col min="13802" max="13860" width="13.7109375" customWidth="1"/>
    <col min="13861" max="14052" width="9.140625"/>
    <col min="14053" max="14053" width="5.42578125" customWidth="1"/>
    <col min="14054" max="14054" width="56.42578125" customWidth="1"/>
    <col min="14055" max="14055" width="15.28515625" customWidth="1"/>
    <col min="14056" max="14056" width="15.85546875" customWidth="1"/>
    <col min="14057" max="14057" width="15.140625" customWidth="1"/>
    <col min="14058" max="14116" width="13.7109375" customWidth="1"/>
    <col min="14117" max="14308" width="9.140625"/>
    <col min="14309" max="14309" width="5.42578125" customWidth="1"/>
    <col min="14310" max="14310" width="56.42578125" customWidth="1"/>
    <col min="14311" max="14311" width="15.28515625" customWidth="1"/>
    <col min="14312" max="14312" width="15.85546875" customWidth="1"/>
    <col min="14313" max="14313" width="15.140625" customWidth="1"/>
    <col min="14314" max="14372" width="13.7109375" customWidth="1"/>
    <col min="14373" max="14564" width="9.140625"/>
    <col min="14565" max="14565" width="5.42578125" customWidth="1"/>
    <col min="14566" max="14566" width="56.42578125" customWidth="1"/>
    <col min="14567" max="14567" width="15.28515625" customWidth="1"/>
    <col min="14568" max="14568" width="15.85546875" customWidth="1"/>
    <col min="14569" max="14569" width="15.140625" customWidth="1"/>
    <col min="14570" max="14628" width="13.7109375" customWidth="1"/>
    <col min="14629" max="14820" width="9.140625"/>
    <col min="14821" max="14821" width="5.42578125" customWidth="1"/>
    <col min="14822" max="14822" width="56.42578125" customWidth="1"/>
    <col min="14823" max="14823" width="15.28515625" customWidth="1"/>
    <col min="14824" max="14824" width="15.85546875" customWidth="1"/>
    <col min="14825" max="14825" width="15.140625" customWidth="1"/>
    <col min="14826" max="14884" width="13.7109375" customWidth="1"/>
    <col min="14885" max="15076" width="9.140625"/>
    <col min="15077" max="15077" width="5.42578125" customWidth="1"/>
    <col min="15078" max="15078" width="56.42578125" customWidth="1"/>
    <col min="15079" max="15079" width="15.28515625" customWidth="1"/>
    <col min="15080" max="15080" width="15.85546875" customWidth="1"/>
    <col min="15081" max="15081" width="15.140625" customWidth="1"/>
    <col min="15082" max="15140" width="13.7109375" customWidth="1"/>
    <col min="15141" max="15332" width="9.140625"/>
    <col min="15333" max="15333" width="5.42578125" customWidth="1"/>
    <col min="15334" max="15334" width="56.42578125" customWidth="1"/>
    <col min="15335" max="15335" width="15.28515625" customWidth="1"/>
    <col min="15336" max="15336" width="15.85546875" customWidth="1"/>
    <col min="15337" max="15337" width="15.140625" customWidth="1"/>
    <col min="15338" max="15396" width="13.7109375" customWidth="1"/>
    <col min="15397" max="15588" width="9.140625"/>
    <col min="15589" max="15589" width="5.42578125" customWidth="1"/>
    <col min="15590" max="15590" width="56.42578125" customWidth="1"/>
    <col min="15591" max="15591" width="15.28515625" customWidth="1"/>
    <col min="15592" max="15592" width="15.85546875" customWidth="1"/>
    <col min="15593" max="15593" width="15.140625" customWidth="1"/>
    <col min="15594" max="15652" width="13.7109375" customWidth="1"/>
    <col min="15653" max="15844" width="9.140625"/>
    <col min="15845" max="15845" width="5.42578125" customWidth="1"/>
    <col min="15846" max="15846" width="56.42578125" customWidth="1"/>
    <col min="15847" max="15847" width="15.28515625" customWidth="1"/>
    <col min="15848" max="15848" width="15.85546875" customWidth="1"/>
    <col min="15849" max="15849" width="15.140625" customWidth="1"/>
    <col min="15850" max="15908" width="13.7109375" customWidth="1"/>
    <col min="15909" max="16100" width="9.140625"/>
    <col min="16101" max="16101" width="5.42578125" customWidth="1"/>
    <col min="16102" max="16102" width="56.42578125" customWidth="1"/>
    <col min="16103" max="16103" width="15.28515625" customWidth="1"/>
    <col min="16104" max="16104" width="15.85546875" customWidth="1"/>
    <col min="16105" max="16105" width="15.140625" customWidth="1"/>
    <col min="16106" max="16164" width="13.7109375" customWidth="1"/>
    <col min="16165" max="16384" width="9.140625"/>
  </cols>
  <sheetData>
    <row r="1" spans="2:37" ht="15.75" x14ac:dyDescent="0.25">
      <c r="F1" s="12" t="s">
        <v>38</v>
      </c>
    </row>
    <row r="2" spans="2:37" s="1" customFormat="1" x14ac:dyDescent="0.2">
      <c r="B2" s="1" t="s">
        <v>74</v>
      </c>
      <c r="E2" s="153" t="s">
        <v>37</v>
      </c>
      <c r="F2" s="13">
        <v>0</v>
      </c>
      <c r="G2" s="13">
        <v>1</v>
      </c>
      <c r="H2" s="13">
        <v>2</v>
      </c>
      <c r="I2" s="13">
        <v>3</v>
      </c>
      <c r="J2" s="13">
        <v>4</v>
      </c>
      <c r="K2" s="13">
        <v>5</v>
      </c>
      <c r="L2" s="13">
        <v>6</v>
      </c>
      <c r="M2" s="13">
        <v>7</v>
      </c>
      <c r="N2" s="13">
        <v>8</v>
      </c>
      <c r="O2" s="13">
        <v>9</v>
      </c>
      <c r="P2" s="13">
        <v>10</v>
      </c>
      <c r="Q2" s="13">
        <v>11</v>
      </c>
      <c r="R2" s="13">
        <v>12</v>
      </c>
      <c r="S2" s="13">
        <v>13</v>
      </c>
      <c r="T2" s="13">
        <v>14</v>
      </c>
      <c r="U2" s="13">
        <v>15</v>
      </c>
      <c r="V2" s="13">
        <v>16</v>
      </c>
      <c r="W2" s="13">
        <v>17</v>
      </c>
      <c r="X2" s="13">
        <v>18</v>
      </c>
      <c r="Y2" s="13">
        <v>19</v>
      </c>
      <c r="Z2" s="13">
        <v>20</v>
      </c>
      <c r="AA2" s="13">
        <v>21</v>
      </c>
      <c r="AB2" s="13">
        <v>22</v>
      </c>
      <c r="AC2" s="13">
        <v>23</v>
      </c>
      <c r="AD2" s="13">
        <v>24</v>
      </c>
      <c r="AE2" s="13">
        <v>25</v>
      </c>
      <c r="AF2" s="13">
        <v>26</v>
      </c>
      <c r="AG2" s="13">
        <v>27</v>
      </c>
      <c r="AH2" s="13">
        <v>28</v>
      </c>
      <c r="AI2" s="13">
        <v>29</v>
      </c>
      <c r="AJ2" s="13">
        <v>30</v>
      </c>
    </row>
    <row r="4" spans="2:37" s="1" customFormat="1" x14ac:dyDescent="0.2">
      <c r="B4" s="1" t="s">
        <v>729</v>
      </c>
      <c r="G4" s="202">
        <v>1</v>
      </c>
      <c r="H4" s="366">
        <f>G4*(1+'Financial Inputs'!$P$6)</f>
        <v>1</v>
      </c>
      <c r="I4" s="366">
        <f>H4*(1+'Financial Inputs'!$P$6)</f>
        <v>1</v>
      </c>
      <c r="J4" s="366">
        <f>I4*(1+'Financial Inputs'!$P$6)</f>
        <v>1</v>
      </c>
      <c r="K4" s="366">
        <f>J4*(1+'Financial Inputs'!$P$6)</f>
        <v>1</v>
      </c>
      <c r="L4" s="366">
        <f>K4*(1+'Financial Inputs'!$P$6)</f>
        <v>1</v>
      </c>
      <c r="M4" s="366">
        <f>L4*(1+'Financial Inputs'!$P$6)</f>
        <v>1</v>
      </c>
      <c r="N4" s="366">
        <f>M4*(1+'Financial Inputs'!$P$6)</f>
        <v>1</v>
      </c>
      <c r="O4" s="366">
        <f>N4*(1+'Financial Inputs'!$P$6)</f>
        <v>1</v>
      </c>
      <c r="P4" s="366">
        <f>O4*(1+'Financial Inputs'!$P$6)</f>
        <v>1</v>
      </c>
      <c r="Q4" s="366">
        <f>P4*(1+'Financial Inputs'!$P$6)</f>
        <v>1</v>
      </c>
      <c r="R4" s="366">
        <f>Q4*(1+'Financial Inputs'!$P$6)</f>
        <v>1</v>
      </c>
      <c r="S4" s="366">
        <f>R4*(1+'Financial Inputs'!$P$6)</f>
        <v>1</v>
      </c>
      <c r="T4" s="366">
        <f>S4*(1+'Financial Inputs'!$P$6)</f>
        <v>1</v>
      </c>
      <c r="U4" s="366">
        <f>T4*(1+'Financial Inputs'!$P$6)</f>
        <v>1</v>
      </c>
      <c r="V4" s="366">
        <f>U4*(1+'Financial Inputs'!$P$6)</f>
        <v>1</v>
      </c>
      <c r="W4" s="366">
        <f>V4*(1+'Financial Inputs'!$P$6)</f>
        <v>1</v>
      </c>
      <c r="X4" s="366">
        <f>W4*(1+'Financial Inputs'!$P$6)</f>
        <v>1</v>
      </c>
      <c r="Y4" s="366">
        <f>X4*(1+'Financial Inputs'!$P$6)</f>
        <v>1</v>
      </c>
      <c r="Z4" s="366">
        <f>Y4*(1+'Financial Inputs'!$P$6)</f>
        <v>1</v>
      </c>
      <c r="AA4" s="366">
        <f>Z4*(1+'Financial Inputs'!$P$6)</f>
        <v>1</v>
      </c>
      <c r="AB4" s="366">
        <f>AA4*(1+'Financial Inputs'!$P$6)</f>
        <v>1</v>
      </c>
      <c r="AC4" s="366">
        <f>AB4*(1+'Financial Inputs'!$P$6)</f>
        <v>1</v>
      </c>
      <c r="AD4" s="366">
        <f>AC4*(1+'Financial Inputs'!$P$6)</f>
        <v>1</v>
      </c>
      <c r="AE4" s="366">
        <f>AD4*(1+'Financial Inputs'!$P$6)</f>
        <v>1</v>
      </c>
      <c r="AF4" s="366">
        <f>AE4*(1+'Financial Inputs'!$P$6)</f>
        <v>1</v>
      </c>
      <c r="AG4" s="366">
        <f>AF4*(1+'Financial Inputs'!$P$6)</f>
        <v>1</v>
      </c>
      <c r="AH4" s="366">
        <f>AG4*(1+'Financial Inputs'!$P$6)</f>
        <v>1</v>
      </c>
      <c r="AI4" s="366">
        <f>AH4*(1+'Financial Inputs'!$P$6)</f>
        <v>1</v>
      </c>
      <c r="AJ4" s="366">
        <f>AI4*(1+'Financial Inputs'!$P$6)</f>
        <v>1</v>
      </c>
    </row>
    <row r="5" spans="2:37" ht="15.75" x14ac:dyDescent="0.25">
      <c r="B5" s="1" t="s">
        <v>806</v>
      </c>
      <c r="G5" s="202">
        <v>1</v>
      </c>
      <c r="H5" s="366">
        <f>G5*(1+'Financial Inputs'!$P$7)</f>
        <v>1.02</v>
      </c>
      <c r="I5" s="366">
        <f>H5*(1+'Financial Inputs'!$P$7)</f>
        <v>1.0404</v>
      </c>
      <c r="J5" s="366">
        <f>I5*(1+'Financial Inputs'!$P$7)</f>
        <v>1.0612079999999999</v>
      </c>
      <c r="K5" s="366">
        <f>J5*(1+'Financial Inputs'!$P$7)</f>
        <v>1.08243216</v>
      </c>
      <c r="L5" s="366">
        <f>K5*(1+'Financial Inputs'!$P$7)</f>
        <v>1.1040808032</v>
      </c>
      <c r="M5" s="366">
        <f>L5*(1+'Financial Inputs'!$P$7)</f>
        <v>1.1261624192640001</v>
      </c>
      <c r="N5" s="366">
        <f>M5*(1+'Financial Inputs'!$P$7)</f>
        <v>1.14868566764928</v>
      </c>
      <c r="O5" s="366">
        <f>N5*(1+'Financial Inputs'!$P$7)</f>
        <v>1.1716593810022657</v>
      </c>
      <c r="P5" s="366">
        <f>O5*(1+'Financial Inputs'!$P$7)</f>
        <v>1.1950925686223111</v>
      </c>
      <c r="Q5" s="366">
        <f>P5*(1+'Financial Inputs'!$P$7)</f>
        <v>1.2189944199947573</v>
      </c>
      <c r="R5" s="366">
        <f>Q5*(1+'Financial Inputs'!$P$7)</f>
        <v>1.2433743083946525</v>
      </c>
      <c r="S5" s="366">
        <f>R5*(1+'Financial Inputs'!$P$7)</f>
        <v>1.2682417945625455</v>
      </c>
      <c r="T5" s="366">
        <f>S5*(1+'Financial Inputs'!$P$7)</f>
        <v>1.2936066304537963</v>
      </c>
      <c r="U5" s="366">
        <f>T5*(1+'Financial Inputs'!$P$7)</f>
        <v>1.3194787630628724</v>
      </c>
      <c r="V5" s="366">
        <f>U5*(1+'Financial Inputs'!$P$7)</f>
        <v>1.3458683383241299</v>
      </c>
      <c r="W5" s="366">
        <f>V5*(1+'Financial Inputs'!$P$7)</f>
        <v>1.3727857050906125</v>
      </c>
      <c r="X5" s="366">
        <f>W5*(1+'Financial Inputs'!$P$7)</f>
        <v>1.4002414191924248</v>
      </c>
      <c r="Y5" s="366">
        <f>X5*(1+'Financial Inputs'!$P$7)</f>
        <v>1.4282462475762734</v>
      </c>
      <c r="Z5" s="366">
        <f>Y5*(1+'Financial Inputs'!$P$7)</f>
        <v>1.4568111725277988</v>
      </c>
      <c r="AA5" s="366">
        <f>Z5*(1+'Financial Inputs'!$P$7)</f>
        <v>1.4859473959783549</v>
      </c>
      <c r="AB5" s="366">
        <f>AA5*(1+'Financial Inputs'!$P$7)</f>
        <v>1.5156663438979221</v>
      </c>
      <c r="AC5" s="366">
        <f>AB5*(1+'Financial Inputs'!$P$7)</f>
        <v>1.5459796707758806</v>
      </c>
      <c r="AD5" s="366">
        <f>AC5*(1+'Financial Inputs'!$P$7)</f>
        <v>1.5768992641913981</v>
      </c>
      <c r="AE5" s="366">
        <f>AD5*(1+'Financial Inputs'!$P$7)</f>
        <v>1.6084372494752261</v>
      </c>
      <c r="AF5" s="366">
        <f>AE5*(1+'Financial Inputs'!$P$7)</f>
        <v>1.6406059944647307</v>
      </c>
      <c r="AG5" s="366">
        <f>AF5*(1+'Financial Inputs'!$P$7)</f>
        <v>1.6734181143540252</v>
      </c>
      <c r="AH5" s="366">
        <f>AG5*(1+'Financial Inputs'!$P$7)</f>
        <v>1.7068864766411058</v>
      </c>
      <c r="AI5" s="366">
        <f>AH5*(1+'Financial Inputs'!$P$7)</f>
        <v>1.7410242061739281</v>
      </c>
      <c r="AJ5" s="366">
        <f>AI5*(1+'Financial Inputs'!$P$7)</f>
        <v>1.7758446902974065</v>
      </c>
    </row>
    <row r="6" spans="2:37" s="1" customFormat="1" ht="15.75" x14ac:dyDescent="0.25">
      <c r="E6" s="45"/>
      <c r="F6" s="45"/>
      <c r="G6" s="52"/>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row>
    <row r="7" spans="2:37" s="1" customFormat="1" x14ac:dyDescent="0.2">
      <c r="B7" s="1" t="s">
        <v>720</v>
      </c>
      <c r="E7" s="45" t="s">
        <v>0</v>
      </c>
      <c r="G7" s="19">
        <f>IF(G2&gt;'Financial Inputs'!$G$9,0,(('Financial Inputs'!$P$142+'Financial Inputs'!$P$143)*G4))</f>
        <v>74800.362500000003</v>
      </c>
      <c r="H7" s="19">
        <f>IF(H2&gt;'Financial Inputs'!$G$9,0,(('Financial Inputs'!$P$142+'Financial Inputs'!$P$143)*H4))</f>
        <v>74800.362500000003</v>
      </c>
      <c r="I7" s="19">
        <f>IF(I2&gt;'Financial Inputs'!$G$9,0,(('Financial Inputs'!$P$142+'Financial Inputs'!$P$143)*I4))</f>
        <v>74800.362500000003</v>
      </c>
      <c r="J7" s="19">
        <f>IF(J2&gt;'Financial Inputs'!$G$9,0,(('Financial Inputs'!$P$142+'Financial Inputs'!$P$143)*J4))</f>
        <v>74800.362500000003</v>
      </c>
      <c r="K7" s="19">
        <f>IF(K2&gt;'Financial Inputs'!$G$9,0,(('Financial Inputs'!$P$142+'Financial Inputs'!$P$143)*K4))</f>
        <v>74800.362500000003</v>
      </c>
      <c r="L7" s="19">
        <f>IF(L2&gt;'Financial Inputs'!$G$9,0,(('Financial Inputs'!$P$142+'Financial Inputs'!$P$143)*L4))</f>
        <v>74800.362500000003</v>
      </c>
      <c r="M7" s="19">
        <f>IF(M2&gt;'Financial Inputs'!$G$9,0,(('Financial Inputs'!$P$142+'Financial Inputs'!$P$143)*M4))</f>
        <v>74800.362500000003</v>
      </c>
      <c r="N7" s="19">
        <f>IF(N2&gt;'Financial Inputs'!$G$9,0,(('Financial Inputs'!$P$142+'Financial Inputs'!$P$143)*N4))</f>
        <v>74800.362500000003</v>
      </c>
      <c r="O7" s="19">
        <f>IF(O2&gt;'Financial Inputs'!$G$9,0,(('Financial Inputs'!$P$142+'Financial Inputs'!$P$143)*O4))</f>
        <v>74800.362500000003</v>
      </c>
      <c r="P7" s="19">
        <f>IF(P2&gt;'Financial Inputs'!$G$9,0,(('Financial Inputs'!$P$142+'Financial Inputs'!$P$143)*P4))</f>
        <v>74800.362500000003</v>
      </c>
      <c r="Q7" s="19">
        <f>IF(Q2&gt;'Financial Inputs'!$G$9,0,(('Financial Inputs'!$P$142+'Financial Inputs'!$P$143)*Q4))</f>
        <v>74800.362500000003</v>
      </c>
      <c r="R7" s="19">
        <f>IF(R2&gt;'Financial Inputs'!$G$9,0,(('Financial Inputs'!$P$142+'Financial Inputs'!$P$143)*R4))</f>
        <v>74800.362500000003</v>
      </c>
      <c r="S7" s="19">
        <f>IF(S2&gt;'Financial Inputs'!$G$9,0,(('Financial Inputs'!$P$142+'Financial Inputs'!$P$143)*S4))</f>
        <v>74800.362500000003</v>
      </c>
      <c r="T7" s="19">
        <f>IF(T2&gt;'Financial Inputs'!$G$9,0,(('Financial Inputs'!$P$142+'Financial Inputs'!$P$143)*T4))</f>
        <v>74800.362500000003</v>
      </c>
      <c r="U7" s="19">
        <f>IF(U2&gt;'Financial Inputs'!$G$9,0,(('Financial Inputs'!$P$142+'Financial Inputs'!$P$143)*U4))</f>
        <v>74800.362500000003</v>
      </c>
      <c r="V7" s="19">
        <f>IF(V2&gt;'Financial Inputs'!$G$9,0,(('Financial Inputs'!$P$142+'Financial Inputs'!$P$143)*V4))</f>
        <v>74800.362500000003</v>
      </c>
      <c r="W7" s="19">
        <f>IF(W2&gt;'Financial Inputs'!$G$9,0,(('Financial Inputs'!$P$142+'Financial Inputs'!$P$143)*W4))</f>
        <v>74800.362500000003</v>
      </c>
      <c r="X7" s="19">
        <f>IF(X2&gt;'Financial Inputs'!$G$9,0,(('Financial Inputs'!$P$142+'Financial Inputs'!$P$143)*X4))</f>
        <v>74800.362500000003</v>
      </c>
      <c r="Y7" s="19">
        <f>IF(Y2&gt;'Financial Inputs'!$G$9,0,(('Financial Inputs'!$P$142+'Financial Inputs'!$P$143)*Y4))</f>
        <v>74800.362500000003</v>
      </c>
      <c r="Z7" s="19">
        <f>IF(Z2&gt;'Financial Inputs'!$G$9,0,(('Financial Inputs'!$P$142+'Financial Inputs'!$P$143)*Z4))</f>
        <v>74800.362500000003</v>
      </c>
      <c r="AA7" s="19">
        <f>IF(AA2&gt;'Financial Inputs'!$G$9,0,(('Financial Inputs'!$P$142+'Financial Inputs'!$P$143)*AA4))</f>
        <v>0</v>
      </c>
      <c r="AB7" s="19">
        <f>IF(AB2&gt;'Financial Inputs'!$G$9,0,(('Financial Inputs'!$P$142+'Financial Inputs'!$P$143)*AB4))</f>
        <v>0</v>
      </c>
      <c r="AC7" s="19">
        <f>IF(AC2&gt;'Financial Inputs'!$G$9,0,(('Financial Inputs'!$P$142+'Financial Inputs'!$P$143)*AC4))</f>
        <v>0</v>
      </c>
      <c r="AD7" s="19">
        <f>IF(AD2&gt;'Financial Inputs'!$G$9,0,(('Financial Inputs'!$P$142+'Financial Inputs'!$P$143)*AD4))</f>
        <v>0</v>
      </c>
      <c r="AE7" s="19">
        <f>IF(AE2&gt;'Financial Inputs'!$G$9,0,(('Financial Inputs'!$P$142+'Financial Inputs'!$P$143)*AE4))</f>
        <v>0</v>
      </c>
      <c r="AF7" s="19">
        <f>IF(AF2&gt;'Financial Inputs'!$G$9,0,(('Financial Inputs'!$P$142+'Financial Inputs'!$P$143)*AF4))</f>
        <v>0</v>
      </c>
      <c r="AG7" s="19">
        <f>IF(AG2&gt;'Financial Inputs'!$G$9,0,(('Financial Inputs'!$P$142+'Financial Inputs'!$P$143)*AG4))</f>
        <v>0</v>
      </c>
      <c r="AH7" s="19">
        <f>IF(AH2&gt;'Financial Inputs'!$G$9,0,(('Financial Inputs'!$P$142+'Financial Inputs'!$P$143)*AH4))</f>
        <v>0</v>
      </c>
      <c r="AI7" s="19">
        <f>IF(AI2&gt;'Financial Inputs'!$G$9,0,(('Financial Inputs'!$P$142+'Financial Inputs'!$P$143)*AI4))</f>
        <v>0</v>
      </c>
      <c r="AJ7" s="19">
        <f>IF(AJ2&gt;'Financial Inputs'!$G$9,0,(('Financial Inputs'!$P$142+'Financial Inputs'!$P$143)*AJ4))</f>
        <v>0</v>
      </c>
    </row>
    <row r="8" spans="2:37" s="1" customFormat="1" x14ac:dyDescent="0.2">
      <c r="B8" s="216" t="s">
        <v>716</v>
      </c>
      <c r="E8" s="45" t="s">
        <v>0</v>
      </c>
      <c r="G8" s="19">
        <f>IF(G2&gt;'Financial Inputs'!$G$9,0,'Financial Inputs'!$P$144*'Detailed Cash Flow'!G5)</f>
        <v>22562.149792143609</v>
      </c>
      <c r="H8" s="19">
        <f>IF(H2&gt;'Financial Inputs'!$G$9,0,'Financial Inputs'!$P$144*'Detailed Cash Flow'!H5)</f>
        <v>23013.392787986482</v>
      </c>
      <c r="I8" s="19">
        <f>IF(I2&gt;'Financial Inputs'!$G$9,0,'Financial Inputs'!$P$144*'Detailed Cash Flow'!I5)</f>
        <v>23473.660643746211</v>
      </c>
      <c r="J8" s="19">
        <f>IF(J2&gt;'Financial Inputs'!$G$9,0,'Financial Inputs'!$P$144*'Detailed Cash Flow'!J5)</f>
        <v>23943.133856621134</v>
      </c>
      <c r="K8" s="19">
        <f>IF(K2&gt;'Financial Inputs'!$G$9,0,'Financial Inputs'!$P$144*'Detailed Cash Flow'!K5)</f>
        <v>24421.996533753558</v>
      </c>
      <c r="L8" s="19">
        <f>IF(L2&gt;'Financial Inputs'!$G$9,0,'Financial Inputs'!$P$144*'Detailed Cash Flow'!L5)</f>
        <v>24910.436464428629</v>
      </c>
      <c r="M8" s="19">
        <f>IF(M2&gt;'Financial Inputs'!$G$9,0,'Financial Inputs'!$P$144*'Detailed Cash Flow'!M5)</f>
        <v>25408.645193717202</v>
      </c>
      <c r="N8" s="19">
        <f>IF(N2&gt;'Financial Inputs'!$G$9,0,'Financial Inputs'!$P$144*'Detailed Cash Flow'!N5)</f>
        <v>25916.818097591546</v>
      </c>
      <c r="O8" s="19">
        <f>IF(O2&gt;'Financial Inputs'!$G$9,0,'Financial Inputs'!$P$144*'Detailed Cash Flow'!O5)</f>
        <v>26435.154459543381</v>
      </c>
      <c r="P8" s="19">
        <f>IF(P2&gt;'Financial Inputs'!$G$9,0,'Financial Inputs'!$P$144*'Detailed Cash Flow'!P5)</f>
        <v>26963.857548734246</v>
      </c>
      <c r="Q8" s="19">
        <f>IF(Q2&gt;'Financial Inputs'!$G$9,0,'Financial Inputs'!$P$144*'Detailed Cash Flow'!Q5)</f>
        <v>27503.134699708935</v>
      </c>
      <c r="R8" s="19">
        <f>IF(R2&gt;'Financial Inputs'!$G$9,0,'Financial Inputs'!$P$144*'Detailed Cash Flow'!R5)</f>
        <v>28053.197393703111</v>
      </c>
      <c r="S8" s="19">
        <f>IF(S2&gt;'Financial Inputs'!$G$9,0,'Financial Inputs'!$P$144*'Detailed Cash Flow'!S5)</f>
        <v>28614.261341577174</v>
      </c>
      <c r="T8" s="19">
        <f>IF(T2&gt;'Financial Inputs'!$G$9,0,'Financial Inputs'!$P$144*'Detailed Cash Flow'!T5)</f>
        <v>29186.546568408714</v>
      </c>
      <c r="U8" s="19">
        <f>IF(U2&gt;'Financial Inputs'!$G$9,0,'Financial Inputs'!$P$144*'Detailed Cash Flow'!U5)</f>
        <v>29770.277499776894</v>
      </c>
      <c r="V8" s="19">
        <f>IF(V2&gt;'Financial Inputs'!$G$9,0,'Financial Inputs'!$P$144*'Detailed Cash Flow'!V5)</f>
        <v>30365.683049772433</v>
      </c>
      <c r="W8" s="19">
        <f>IF(W2&gt;'Financial Inputs'!$G$9,0,'Financial Inputs'!$P$144*'Detailed Cash Flow'!W5)</f>
        <v>30972.996710767882</v>
      </c>
      <c r="X8" s="19">
        <f>IF(X2&gt;'Financial Inputs'!$G$9,0,'Financial Inputs'!$P$144*'Detailed Cash Flow'!X5)</f>
        <v>31592.456644983242</v>
      </c>
      <c r="Y8" s="19">
        <f>IF(Y2&gt;'Financial Inputs'!$G$9,0,'Financial Inputs'!$P$144*'Detailed Cash Flow'!Y5)</f>
        <v>32224.305777882906</v>
      </c>
      <c r="Z8" s="19">
        <f>IF(Z2&gt;'Financial Inputs'!$G$9,0,'Financial Inputs'!$P$144*'Detailed Cash Flow'!Z5)</f>
        <v>32868.791893440561</v>
      </c>
      <c r="AA8" s="19">
        <f>IF(AA2&gt;'Financial Inputs'!$G$9,0,'Financial Inputs'!$P$144*'Detailed Cash Flow'!AA5)</f>
        <v>0</v>
      </c>
      <c r="AB8" s="19">
        <f>IF(AB2&gt;'Financial Inputs'!$G$9,0,'Financial Inputs'!$P$144*'Detailed Cash Flow'!AB5)</f>
        <v>0</v>
      </c>
      <c r="AC8" s="19">
        <f>IF(AC2&gt;'Financial Inputs'!$G$9,0,'Financial Inputs'!$P$144*'Detailed Cash Flow'!AC5)</f>
        <v>0</v>
      </c>
      <c r="AD8" s="19">
        <f>IF(AD2&gt;'Financial Inputs'!$G$9,0,'Financial Inputs'!$P$144*'Detailed Cash Flow'!AD5)</f>
        <v>0</v>
      </c>
      <c r="AE8" s="19">
        <f>IF(AE2&gt;'Financial Inputs'!$G$9,0,'Financial Inputs'!$P$144*'Detailed Cash Flow'!AE5)</f>
        <v>0</v>
      </c>
      <c r="AF8" s="19">
        <f>IF(AF2&gt;'Financial Inputs'!$G$9,0,'Financial Inputs'!$P$144*'Detailed Cash Flow'!AF5)</f>
        <v>0</v>
      </c>
      <c r="AG8" s="19">
        <f>IF(AG2&gt;'Financial Inputs'!$G$9,0,'Financial Inputs'!$P$144*'Detailed Cash Flow'!AG5)</f>
        <v>0</v>
      </c>
      <c r="AH8" s="19">
        <f>IF(AH2&gt;'Financial Inputs'!$G$9,0,'Financial Inputs'!$P$144*'Detailed Cash Flow'!AH5)</f>
        <v>0</v>
      </c>
      <c r="AI8" s="19">
        <f>IF(AI2&gt;'Financial Inputs'!$G$9,0,'Financial Inputs'!$P$144*'Detailed Cash Flow'!AI5)</f>
        <v>0</v>
      </c>
      <c r="AJ8" s="19">
        <f>IF(AJ2&gt;'Financial Inputs'!$G$9,0,'Financial Inputs'!$P$144*'Detailed Cash Flow'!AJ5)</f>
        <v>0</v>
      </c>
      <c r="AK8" s="19"/>
    </row>
    <row r="9" spans="2:37" s="1" customFormat="1" x14ac:dyDescent="0.2">
      <c r="B9" s="216" t="s">
        <v>373</v>
      </c>
      <c r="E9" s="45" t="s">
        <v>0</v>
      </c>
      <c r="G9" s="19">
        <f>IF(G2&gt;'Financial Inputs'!$G$9,0,IF(AND('Key inputs &amp; Outputs'!$F$8="yes",'Key inputs &amp; Outputs'!$F$9="yes"),'Financial Inputs'!$P$146*'Detailed Cash Flow'!G5,0))</f>
        <v>20000</v>
      </c>
      <c r="H9" s="19">
        <f>IF(H2&gt;'Financial Inputs'!$G$9,0,IF(AND('Key inputs &amp; Outputs'!$F$8="yes",'Key inputs &amp; Outputs'!$F$9="yes"),'Financial Inputs'!$P$146*'Detailed Cash Flow'!H5,0))</f>
        <v>20400</v>
      </c>
      <c r="I9" s="19">
        <f>IF(I2&gt;'Financial Inputs'!$G$9,0,IF(AND('Key inputs &amp; Outputs'!$F$8="yes",'Key inputs &amp; Outputs'!$F$9="yes"),'Financial Inputs'!$P$146*'Detailed Cash Flow'!I5,0))</f>
        <v>20808</v>
      </c>
      <c r="J9" s="19">
        <f>IF(J2&gt;'Financial Inputs'!$G$9,0,IF(AND('Key inputs &amp; Outputs'!$F$8="yes",'Key inputs &amp; Outputs'!$F$9="yes"),'Financial Inputs'!$P$146*'Detailed Cash Flow'!J5,0))</f>
        <v>21224.16</v>
      </c>
      <c r="K9" s="19">
        <f>IF(K2&gt;'Financial Inputs'!$G$9,0,IF(AND('Key inputs &amp; Outputs'!$F$8="yes",'Key inputs &amp; Outputs'!$F$9="yes"),'Financial Inputs'!$P$146*'Detailed Cash Flow'!K5,0))</f>
        <v>21648.643199999999</v>
      </c>
      <c r="L9" s="19">
        <f>IF(L2&gt;'Financial Inputs'!$G$9,0,IF(AND('Key inputs &amp; Outputs'!$F$8="yes",'Key inputs &amp; Outputs'!$F$9="yes"),'Financial Inputs'!$P$146*'Detailed Cash Flow'!L5,0))</f>
        <v>22081.616064000002</v>
      </c>
      <c r="M9" s="19">
        <f>IF(M2&gt;'Financial Inputs'!$G$9,0,IF(AND('Key inputs &amp; Outputs'!$F$8="yes",'Key inputs &amp; Outputs'!$F$9="yes"),'Financial Inputs'!$P$146*'Detailed Cash Flow'!M5,0))</f>
        <v>22523.24838528</v>
      </c>
      <c r="N9" s="19">
        <f>IF(N2&gt;'Financial Inputs'!$G$9,0,IF(AND('Key inputs &amp; Outputs'!$F$8="yes",'Key inputs &amp; Outputs'!$F$9="yes"),'Financial Inputs'!$P$146*'Detailed Cash Flow'!N5,0))</f>
        <v>22973.7133529856</v>
      </c>
      <c r="O9" s="19">
        <f>IF(O2&gt;'Financial Inputs'!$G$9,0,IF(AND('Key inputs &amp; Outputs'!$F$8="yes",'Key inputs &amp; Outputs'!$F$9="yes"),'Financial Inputs'!$P$146*'Detailed Cash Flow'!O5,0))</f>
        <v>23433.187620045315</v>
      </c>
      <c r="P9" s="19">
        <f>IF(P2&gt;'Financial Inputs'!$G$9,0,IF(AND('Key inputs &amp; Outputs'!$F$8="yes",'Key inputs &amp; Outputs'!$F$9="yes"),'Financial Inputs'!$P$146*'Detailed Cash Flow'!P5,0))</f>
        <v>23901.851372446221</v>
      </c>
      <c r="Q9" s="19">
        <f>IF(Q2&gt;'Financial Inputs'!$G$9,0,IF(AND('Key inputs &amp; Outputs'!$F$8="yes",'Key inputs &amp; Outputs'!$F$9="yes"),'Financial Inputs'!$P$146*'Detailed Cash Flow'!Q5,0))</f>
        <v>24379.888399895146</v>
      </c>
      <c r="R9" s="19">
        <f>IF(R2&gt;'Financial Inputs'!$G$9,0,IF(AND('Key inputs &amp; Outputs'!$F$8="yes",'Key inputs &amp; Outputs'!$F$9="yes"),'Financial Inputs'!$P$146*'Detailed Cash Flow'!R5,0))</f>
        <v>24867.48616789305</v>
      </c>
      <c r="S9" s="19">
        <f>IF(S2&gt;'Financial Inputs'!$G$9,0,IF(AND('Key inputs &amp; Outputs'!$F$8="yes",'Key inputs &amp; Outputs'!$F$9="yes"),'Financial Inputs'!$P$146*'Detailed Cash Flow'!S5,0))</f>
        <v>25364.83589125091</v>
      </c>
      <c r="T9" s="19">
        <f>IF(T2&gt;'Financial Inputs'!$G$9,0,IF(AND('Key inputs &amp; Outputs'!$F$8="yes",'Key inputs &amp; Outputs'!$F$9="yes"),'Financial Inputs'!$P$146*'Detailed Cash Flow'!T5,0))</f>
        <v>25872.132609075925</v>
      </c>
      <c r="U9" s="19">
        <f>IF(U2&gt;'Financial Inputs'!$G$9,0,IF(AND('Key inputs &amp; Outputs'!$F$8="yes",'Key inputs &amp; Outputs'!$F$9="yes"),'Financial Inputs'!$P$146*'Detailed Cash Flow'!U5,0))</f>
        <v>26389.575261257447</v>
      </c>
      <c r="V9" s="19">
        <f>IF(V2&gt;'Financial Inputs'!$G$9,0,IF(AND('Key inputs &amp; Outputs'!$F$8="yes",'Key inputs &amp; Outputs'!$F$9="yes"),'Financial Inputs'!$P$146*'Detailed Cash Flow'!V5,0))</f>
        <v>26917.366766482599</v>
      </c>
      <c r="W9" s="19">
        <f>IF(W2&gt;'Financial Inputs'!$G$9,0,IF(AND('Key inputs &amp; Outputs'!$F$8="yes",'Key inputs &amp; Outputs'!$F$9="yes"),'Financial Inputs'!$P$146*'Detailed Cash Flow'!W5,0))</f>
        <v>27455.714101812249</v>
      </c>
      <c r="X9" s="19">
        <f>IF(X2&gt;'Financial Inputs'!$G$9,0,IF(AND('Key inputs &amp; Outputs'!$F$8="yes",'Key inputs &amp; Outputs'!$F$9="yes"),'Financial Inputs'!$P$146*'Detailed Cash Flow'!X5,0))</f>
        <v>28004.828383848497</v>
      </c>
      <c r="Y9" s="19">
        <f>IF(Y2&gt;'Financial Inputs'!$G$9,0,IF(AND('Key inputs &amp; Outputs'!$F$8="yes",'Key inputs &amp; Outputs'!$F$9="yes"),'Financial Inputs'!$P$146*'Detailed Cash Flow'!Y5,0))</f>
        <v>28564.924951525467</v>
      </c>
      <c r="Z9" s="19">
        <f>IF(Z2&gt;'Financial Inputs'!$G$9,0,IF(AND('Key inputs &amp; Outputs'!$F$8="yes",'Key inputs &amp; Outputs'!$F$9="yes"),'Financial Inputs'!$P$146*'Detailed Cash Flow'!Z5,0))</f>
        <v>29136.223450555975</v>
      </c>
      <c r="AA9" s="19">
        <f>IF(AA2&gt;'Financial Inputs'!$G$9,0,IF(AND('Key inputs &amp; Outputs'!$F$8="yes",'Key inputs &amp; Outputs'!$F$9="yes"),'Financial Inputs'!$P$146*'Detailed Cash Flow'!AA5,0))</f>
        <v>0</v>
      </c>
      <c r="AB9" s="19">
        <f>IF(AB2&gt;'Financial Inputs'!$G$9,0,IF(AND('Key inputs &amp; Outputs'!$F$8="yes",'Key inputs &amp; Outputs'!$F$9="yes"),'Financial Inputs'!$P$146*'Detailed Cash Flow'!AB5,0))</f>
        <v>0</v>
      </c>
      <c r="AC9" s="19">
        <f>IF(AC2&gt;'Financial Inputs'!$G$9,0,IF(AND('Key inputs &amp; Outputs'!$F$8="yes",'Key inputs &amp; Outputs'!$F$9="yes"),'Financial Inputs'!$P$146*'Detailed Cash Flow'!AC5,0))</f>
        <v>0</v>
      </c>
      <c r="AD9" s="19">
        <f>IF(AD2&gt;'Financial Inputs'!$G$9,0,IF(AND('Key inputs &amp; Outputs'!$F$8="yes",'Key inputs &amp; Outputs'!$F$9="yes"),'Financial Inputs'!$P$146*'Detailed Cash Flow'!AD5,0))</f>
        <v>0</v>
      </c>
      <c r="AE9" s="19">
        <f>IF(AE2&gt;'Financial Inputs'!$G$9,0,IF(AND('Key inputs &amp; Outputs'!$F$8="yes",'Key inputs &amp; Outputs'!$F$9="yes"),'Financial Inputs'!$P$146*'Detailed Cash Flow'!AE5,0))</f>
        <v>0</v>
      </c>
      <c r="AF9" s="19">
        <f>IF(AF2&gt;'Financial Inputs'!$G$9,0,IF(AND('Key inputs &amp; Outputs'!$F$8="yes",'Key inputs &amp; Outputs'!$F$9="yes"),'Financial Inputs'!$P$146*'Detailed Cash Flow'!AF5,0))</f>
        <v>0</v>
      </c>
      <c r="AG9" s="19">
        <f>IF(AG2&gt;'Financial Inputs'!$G$9,0,IF(AND('Key inputs &amp; Outputs'!$F$8="yes",'Key inputs &amp; Outputs'!$F$9="yes"),'Financial Inputs'!$P$146*'Detailed Cash Flow'!AG5,0))</f>
        <v>0</v>
      </c>
      <c r="AH9" s="19">
        <f>IF(AH2&gt;'Financial Inputs'!$G$9,0,IF(AND('Key inputs &amp; Outputs'!$F$8="yes",'Key inputs &amp; Outputs'!$F$9="yes"),'Financial Inputs'!$P$146*'Detailed Cash Flow'!AH5,0))</f>
        <v>0</v>
      </c>
      <c r="AI9" s="19">
        <f>IF(AI2&gt;'Financial Inputs'!$G$9,0,IF(AND('Key inputs &amp; Outputs'!$F$8="yes",'Key inputs &amp; Outputs'!$F$9="yes"),'Financial Inputs'!$P$146*'Detailed Cash Flow'!AI5,0))</f>
        <v>0</v>
      </c>
      <c r="AJ9" s="19">
        <f>IF(AJ2&gt;'Financial Inputs'!$G$9,0,IF(AND('Key inputs &amp; Outputs'!$F$8="yes",'Key inputs &amp; Outputs'!$F$9="yes"),'Financial Inputs'!$P$146*'Detailed Cash Flow'!AJ5,0))</f>
        <v>0</v>
      </c>
      <c r="AK9" s="19"/>
    </row>
    <row r="11" spans="2:37" s="1" customFormat="1" ht="15.75" x14ac:dyDescent="0.25">
      <c r="B11" s="18" t="s">
        <v>65</v>
      </c>
      <c r="C11" s="18"/>
      <c r="D11" s="18"/>
      <c r="E11" s="47" t="s">
        <v>0</v>
      </c>
      <c r="F11" s="18"/>
      <c r="G11" s="365">
        <f>SUM(G7:G9)</f>
        <v>117362.51229214361</v>
      </c>
      <c r="H11" s="365">
        <f t="shared" ref="H11:AJ11" si="0">SUM(H7:H9)</f>
        <v>118213.75528798648</v>
      </c>
      <c r="I11" s="365">
        <f t="shared" si="0"/>
        <v>119082.02314374622</v>
      </c>
      <c r="J11" s="365">
        <f t="shared" si="0"/>
        <v>119967.65635662114</v>
      </c>
      <c r="K11" s="365">
        <f t="shared" si="0"/>
        <v>120871.00223375356</v>
      </c>
      <c r="L11" s="365">
        <f t="shared" si="0"/>
        <v>121792.41502842863</v>
      </c>
      <c r="M11" s="365">
        <f t="shared" si="0"/>
        <v>122732.25607899719</v>
      </c>
      <c r="N11" s="365">
        <f t="shared" si="0"/>
        <v>123690.89395057716</v>
      </c>
      <c r="O11" s="365">
        <f t="shared" si="0"/>
        <v>124668.7045795887</v>
      </c>
      <c r="P11" s="365">
        <f t="shared" si="0"/>
        <v>125666.07142118047</v>
      </c>
      <c r="Q11" s="365">
        <f t="shared" si="0"/>
        <v>126683.38559960409</v>
      </c>
      <c r="R11" s="365">
        <f t="shared" si="0"/>
        <v>127721.04606159616</v>
      </c>
      <c r="S11" s="365">
        <f t="shared" si="0"/>
        <v>128779.45973282809</v>
      </c>
      <c r="T11" s="365">
        <f t="shared" si="0"/>
        <v>129859.04167748464</v>
      </c>
      <c r="U11" s="365">
        <f t="shared" si="0"/>
        <v>130960.21526103435</v>
      </c>
      <c r="V11" s="365">
        <f t="shared" si="0"/>
        <v>132083.41231625504</v>
      </c>
      <c r="W11" s="365">
        <f t="shared" si="0"/>
        <v>133229.07331258012</v>
      </c>
      <c r="X11" s="365">
        <f t="shared" si="0"/>
        <v>134397.64752883176</v>
      </c>
      <c r="Y11" s="365">
        <f t="shared" si="0"/>
        <v>135589.59322940838</v>
      </c>
      <c r="Z11" s="365">
        <f t="shared" si="0"/>
        <v>136805.37784399654</v>
      </c>
      <c r="AA11" s="365">
        <f t="shared" si="0"/>
        <v>0</v>
      </c>
      <c r="AB11" s="365">
        <f t="shared" si="0"/>
        <v>0</v>
      </c>
      <c r="AC11" s="365">
        <f t="shared" si="0"/>
        <v>0</v>
      </c>
      <c r="AD11" s="365">
        <f t="shared" si="0"/>
        <v>0</v>
      </c>
      <c r="AE11" s="365">
        <f t="shared" si="0"/>
        <v>0</v>
      </c>
      <c r="AF11" s="365">
        <f t="shared" si="0"/>
        <v>0</v>
      </c>
      <c r="AG11" s="365">
        <f t="shared" si="0"/>
        <v>0</v>
      </c>
      <c r="AH11" s="365">
        <f t="shared" si="0"/>
        <v>0</v>
      </c>
      <c r="AI11" s="365">
        <f t="shared" si="0"/>
        <v>0</v>
      </c>
      <c r="AJ11" s="365">
        <f t="shared" si="0"/>
        <v>0</v>
      </c>
    </row>
    <row r="12" spans="2:37" s="1" customFormat="1" x14ac:dyDescent="0.2">
      <c r="E12" s="45"/>
    </row>
    <row r="13" spans="2:37" s="1" customFormat="1" ht="15.75" x14ac:dyDescent="0.25">
      <c r="B13" s="18" t="s">
        <v>39</v>
      </c>
      <c r="C13" s="18"/>
      <c r="D13" s="18"/>
      <c r="E13" s="45"/>
    </row>
    <row r="14" spans="2:37" s="1" customFormat="1" x14ac:dyDescent="0.2">
      <c r="B14" s="1" t="s">
        <v>64</v>
      </c>
      <c r="E14" s="45"/>
      <c r="F14" s="13"/>
      <c r="G14" s="202">
        <v>1</v>
      </c>
      <c r="H14" s="48">
        <f>G14*(1+'Financial Inputs'!$P$8)</f>
        <v>1.02</v>
      </c>
      <c r="I14" s="48">
        <f>H14*(1+'Financial Inputs'!$P$8)</f>
        <v>1.0404</v>
      </c>
      <c r="J14" s="48">
        <f>I14*(1+'Financial Inputs'!$P$8)</f>
        <v>1.0612079999999999</v>
      </c>
      <c r="K14" s="48">
        <f>J14*(1+'Financial Inputs'!$P$8)</f>
        <v>1.08243216</v>
      </c>
      <c r="L14" s="48">
        <f>K14*(1+'Financial Inputs'!$P$8)</f>
        <v>1.1040808032</v>
      </c>
      <c r="M14" s="48">
        <f>L14*(1+'Financial Inputs'!$P$8)</f>
        <v>1.1261624192640001</v>
      </c>
      <c r="N14" s="48">
        <f>M14*(1+'Financial Inputs'!$P$8)</f>
        <v>1.14868566764928</v>
      </c>
      <c r="O14" s="48">
        <f>N14*(1+'Financial Inputs'!$P$8)</f>
        <v>1.1716593810022657</v>
      </c>
      <c r="P14" s="48">
        <f>O14*(1+'Financial Inputs'!$P$8)</f>
        <v>1.1950925686223111</v>
      </c>
      <c r="Q14" s="48">
        <f>P14*(1+'Financial Inputs'!$P$8)</f>
        <v>1.2189944199947573</v>
      </c>
      <c r="R14" s="48">
        <f>Q14*(1+'Financial Inputs'!$P$8)</f>
        <v>1.2433743083946525</v>
      </c>
      <c r="S14" s="48">
        <f>R14*(1+'Financial Inputs'!$P$8)</f>
        <v>1.2682417945625455</v>
      </c>
      <c r="T14" s="48">
        <f>S14*(1+'Financial Inputs'!$P$8)</f>
        <v>1.2936066304537963</v>
      </c>
      <c r="U14" s="48">
        <f>T14*(1+'Financial Inputs'!$P$8)</f>
        <v>1.3194787630628724</v>
      </c>
      <c r="V14" s="48">
        <f>U14*(1+'Financial Inputs'!$P$8)</f>
        <v>1.3458683383241299</v>
      </c>
      <c r="W14" s="48">
        <f>V14*(1+'Financial Inputs'!$P$8)</f>
        <v>1.3727857050906125</v>
      </c>
      <c r="X14" s="48">
        <f>W14*(1+'Financial Inputs'!$P$8)</f>
        <v>1.4002414191924248</v>
      </c>
      <c r="Y14" s="48">
        <f>X14*(1+'Financial Inputs'!$P$8)</f>
        <v>1.4282462475762734</v>
      </c>
      <c r="Z14" s="48">
        <f>Y14*(1+'Financial Inputs'!$P$8)</f>
        <v>1.4568111725277988</v>
      </c>
      <c r="AA14" s="48">
        <f>Z14*(1+'Financial Inputs'!$P$8)</f>
        <v>1.4859473959783549</v>
      </c>
      <c r="AB14" s="48">
        <f>AA14*(1+'Financial Inputs'!$P$8)</f>
        <v>1.5156663438979221</v>
      </c>
      <c r="AC14" s="48">
        <f>AB14*(1+'Financial Inputs'!$P$8)</f>
        <v>1.5459796707758806</v>
      </c>
      <c r="AD14" s="48">
        <f>AC14*(1+'Financial Inputs'!$P$8)</f>
        <v>1.5768992641913981</v>
      </c>
      <c r="AE14" s="48">
        <f>AD14*(1+'Financial Inputs'!$P$8)</f>
        <v>1.6084372494752261</v>
      </c>
      <c r="AF14" s="48">
        <f>AE14*(1+'Financial Inputs'!$P$8)</f>
        <v>1.6406059944647307</v>
      </c>
      <c r="AG14" s="48">
        <f>AF14*(1+'Financial Inputs'!$P$8)</f>
        <v>1.6734181143540252</v>
      </c>
      <c r="AH14" s="48">
        <f>AG14*(1+'Financial Inputs'!$P$8)</f>
        <v>1.7068864766411058</v>
      </c>
      <c r="AI14" s="48">
        <f>AH14*(1+'Financial Inputs'!$P$8)</f>
        <v>1.7410242061739281</v>
      </c>
      <c r="AJ14" s="48">
        <f>AI14*(1+'Financial Inputs'!$P$8)</f>
        <v>1.7758446902974065</v>
      </c>
    </row>
    <row r="15" spans="2:37" s="1" customFormat="1" ht="15.75" x14ac:dyDescent="0.25">
      <c r="E15" s="45"/>
      <c r="F15" s="13"/>
      <c r="G15" s="52"/>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c r="AH15" s="48"/>
      <c r="AI15" s="48"/>
      <c r="AJ15" s="48"/>
    </row>
    <row r="16" spans="2:37" s="1" customFormat="1" x14ac:dyDescent="0.2">
      <c r="B16" s="1" t="s">
        <v>671</v>
      </c>
      <c r="E16" s="45" t="s">
        <v>0</v>
      </c>
      <c r="F16" s="13"/>
      <c r="G16" s="21">
        <f>-IF(G$2&gt;'Financial Inputs'!$G$9,0,'Financial Inputs'!$G$15*G$14)</f>
        <v>-90.909090909090921</v>
      </c>
      <c r="H16" s="21">
        <f>-IF(H$2&gt;'Financial Inputs'!$G$9,0,'Financial Inputs'!$G$15*H$14)</f>
        <v>-92.727272727272734</v>
      </c>
      <c r="I16" s="21">
        <f>-IF(I$2&gt;'Financial Inputs'!$G$9,0,'Financial Inputs'!$G$15*I$14)</f>
        <v>-94.581818181818193</v>
      </c>
      <c r="J16" s="21">
        <f>-IF(J$2&gt;'Financial Inputs'!$G$9,0,'Financial Inputs'!$G$15*J$14)</f>
        <v>-96.473454545454558</v>
      </c>
      <c r="K16" s="21">
        <f>-IF(K$2&gt;'Financial Inputs'!$G$9,0,'Financial Inputs'!$G$15*K$14)</f>
        <v>-98.402923636363653</v>
      </c>
      <c r="L16" s="21">
        <f>-IF(L$2&gt;'Financial Inputs'!$G$9,0,'Financial Inputs'!$G$15*L$14)</f>
        <v>-100.37098210909092</v>
      </c>
      <c r="M16" s="21">
        <f>-IF(M$2&gt;'Financial Inputs'!$G$9,0,'Financial Inputs'!$G$15*M$14)</f>
        <v>-102.37840175127275</v>
      </c>
      <c r="N16" s="21">
        <f>-IF(N$2&gt;'Financial Inputs'!$G$9,0,'Financial Inputs'!$G$15*N$14)</f>
        <v>-104.4259697862982</v>
      </c>
      <c r="O16" s="21">
        <f>-IF(O$2&gt;'Financial Inputs'!$G$9,0,'Financial Inputs'!$G$15*O$14)</f>
        <v>-106.51448918202418</v>
      </c>
      <c r="P16" s="21">
        <f>-IF(P$2&gt;'Financial Inputs'!$G$9,0,'Financial Inputs'!$G$15*P$14)</f>
        <v>-108.64477896566466</v>
      </c>
      <c r="Q16" s="21">
        <f>-IF(Q$2&gt;'Financial Inputs'!$G$9,0,'Financial Inputs'!$G$15*Q$14)</f>
        <v>-110.81767454497795</v>
      </c>
      <c r="R16" s="21">
        <f>-IF(R$2&gt;'Financial Inputs'!$G$9,0,'Financial Inputs'!$G$15*R$14)</f>
        <v>-113.03402803587751</v>
      </c>
      <c r="S16" s="21">
        <f>-IF(S$2&gt;'Financial Inputs'!$G$9,0,'Financial Inputs'!$G$15*S$14)</f>
        <v>-115.29470859659506</v>
      </c>
      <c r="T16" s="21">
        <f>-IF(T$2&gt;'Financial Inputs'!$G$9,0,'Financial Inputs'!$G$15*T$14)</f>
        <v>-117.60060276852695</v>
      </c>
      <c r="U16" s="21">
        <f>-IF(U$2&gt;'Financial Inputs'!$G$9,0,'Financial Inputs'!$G$15*U$14)</f>
        <v>-119.95261482389751</v>
      </c>
      <c r="V16" s="21">
        <f>-IF(V$2&gt;'Financial Inputs'!$G$9,0,'Financial Inputs'!$G$15*V$14)</f>
        <v>-122.35166712037547</v>
      </c>
      <c r="W16" s="21">
        <f>-IF(W$2&gt;'Financial Inputs'!$G$9,0,'Financial Inputs'!$G$15*W$14)</f>
        <v>-124.79870046278297</v>
      </c>
      <c r="X16" s="21">
        <f>-IF(X$2&gt;'Financial Inputs'!$G$9,0,'Financial Inputs'!$G$15*X$14)</f>
        <v>-127.29467447203864</v>
      </c>
      <c r="Y16" s="21">
        <f>-IF(Y$2&gt;'Financial Inputs'!$G$9,0,'Financial Inputs'!$G$15*Y$14)</f>
        <v>-129.84056796147942</v>
      </c>
      <c r="Z16" s="21">
        <f>-IF(Z$2&gt;'Financial Inputs'!$G$9,0,'Financial Inputs'!$G$15*Z$14)</f>
        <v>-132.437379320709</v>
      </c>
      <c r="AA16" s="21">
        <f>-IF(AA$2&gt;'Financial Inputs'!$G$9,0,'Financial Inputs'!$G$15*AA$14)</f>
        <v>0</v>
      </c>
      <c r="AB16" s="21">
        <f>-IF(AB$2&gt;'Financial Inputs'!$G$9,0,'Financial Inputs'!$G$15*AB$14)</f>
        <v>0</v>
      </c>
      <c r="AC16" s="21">
        <f>-IF(AC$2&gt;'Financial Inputs'!$G$9,0,'Financial Inputs'!$G$15*AC$14)</f>
        <v>0</v>
      </c>
      <c r="AD16" s="21">
        <f>-IF(AD$2&gt;'Financial Inputs'!$G$9,0,'Financial Inputs'!$G$15*AD$14)</f>
        <v>0</v>
      </c>
      <c r="AE16" s="21">
        <f>-IF(AE$2&gt;'Financial Inputs'!$G$9,0,'Financial Inputs'!$G$15*AE$14)</f>
        <v>0</v>
      </c>
      <c r="AF16" s="21">
        <f>-IF(AF$2&gt;'Financial Inputs'!$G$9,0,'Financial Inputs'!$G$15*AF$14)</f>
        <v>0</v>
      </c>
      <c r="AG16" s="21">
        <f>-IF(AG$2&gt;'Financial Inputs'!$G$9,0,'Financial Inputs'!$G$15*AG$14)</f>
        <v>0</v>
      </c>
      <c r="AH16" s="21">
        <f>-IF(AH$2&gt;'Financial Inputs'!$G$9,0,'Financial Inputs'!$G$15*AH$14)</f>
        <v>0</v>
      </c>
      <c r="AI16" s="21">
        <f>-IF(AI$2&gt;'Financial Inputs'!$G$9,0,'Financial Inputs'!$G$15*AI$14)</f>
        <v>0</v>
      </c>
      <c r="AJ16" s="21">
        <f>-IF(AJ$2&gt;'Financial Inputs'!$G$9,0,'Financial Inputs'!$G$15*AJ$14)</f>
        <v>0</v>
      </c>
    </row>
    <row r="17" spans="2:36" s="1" customFormat="1" x14ac:dyDescent="0.2">
      <c r="B17" s="1" t="s">
        <v>508</v>
      </c>
      <c r="E17" s="45" t="s">
        <v>0</v>
      </c>
      <c r="G17" s="21">
        <f>IF('Financial Inputs'!$X$126=2,-G93,0)</f>
        <v>0</v>
      </c>
      <c r="H17" s="21">
        <f>IF('Financial Inputs'!$X$126=2,-H93,0)</f>
        <v>0</v>
      </c>
      <c r="I17" s="21">
        <f>IF('Financial Inputs'!$X$126=2,-I93,0)</f>
        <v>0</v>
      </c>
      <c r="J17" s="21">
        <f>IF('Financial Inputs'!$X$126=2,-J93,0)</f>
        <v>0</v>
      </c>
      <c r="K17" s="21">
        <f>IF('Financial Inputs'!$X$126=2,-K93,0)</f>
        <v>0</v>
      </c>
      <c r="L17" s="21">
        <f>IF('Financial Inputs'!$X$126=2,-L93,0)</f>
        <v>0</v>
      </c>
      <c r="M17" s="21">
        <f>IF('Financial Inputs'!$X$126=2,-M93,0)</f>
        <v>0</v>
      </c>
      <c r="N17" s="21">
        <f>IF('Financial Inputs'!$X$126=2,-N93,0)</f>
        <v>0</v>
      </c>
      <c r="O17" s="21">
        <f>IF('Financial Inputs'!$X$126=2,-O93,0)</f>
        <v>0</v>
      </c>
      <c r="P17" s="21">
        <f>IF('Financial Inputs'!$X$126=2,-P93,0)</f>
        <v>0</v>
      </c>
      <c r="Q17" s="21">
        <f>IF('Financial Inputs'!$X$126=2,-Q93,0)</f>
        <v>0</v>
      </c>
      <c r="R17" s="21">
        <f>IF('Financial Inputs'!$X$126=2,-R93,0)</f>
        <v>0</v>
      </c>
      <c r="S17" s="21">
        <f>IF('Financial Inputs'!$X$126=2,-S93,0)</f>
        <v>0</v>
      </c>
      <c r="T17" s="21">
        <f>IF('Financial Inputs'!$X$126=2,-T93,0)</f>
        <v>0</v>
      </c>
      <c r="U17" s="21">
        <f>IF('Financial Inputs'!$X$126=2,-U93,0)</f>
        <v>0</v>
      </c>
      <c r="V17" s="21">
        <f>IF('Financial Inputs'!$X$126=2,-V93,0)</f>
        <v>0</v>
      </c>
      <c r="W17" s="21">
        <f>IF('Financial Inputs'!$X$126=2,-W93,0)</f>
        <v>0</v>
      </c>
      <c r="X17" s="21">
        <f>IF('Financial Inputs'!$X$126=2,-X93,0)</f>
        <v>0</v>
      </c>
      <c r="Y17" s="21">
        <f>IF('Financial Inputs'!$X$126=2,-Y93,0)</f>
        <v>0</v>
      </c>
      <c r="Z17" s="21">
        <f>IF('Financial Inputs'!$X$126=2,-Z93,0)</f>
        <v>0</v>
      </c>
      <c r="AA17" s="21">
        <f>IF('Financial Inputs'!$X$126=2,-AA93,0)</f>
        <v>0</v>
      </c>
      <c r="AB17" s="21">
        <f>IF('Financial Inputs'!$X$126=2,-AB93,0)</f>
        <v>0</v>
      </c>
      <c r="AC17" s="21">
        <f>IF('Financial Inputs'!$X$126=2,-AC93,0)</f>
        <v>0</v>
      </c>
      <c r="AD17" s="21">
        <f>IF('Financial Inputs'!$X$126=2,-AD93,0)</f>
        <v>0</v>
      </c>
      <c r="AE17" s="21">
        <f>IF('Financial Inputs'!$X$126=2,-AE93,0)</f>
        <v>0</v>
      </c>
      <c r="AF17" s="21">
        <f>IF('Financial Inputs'!$X$126=2,-AF93,0)</f>
        <v>0</v>
      </c>
      <c r="AG17" s="21">
        <f>IF('Financial Inputs'!$X$126=2,-AG93,0)</f>
        <v>0</v>
      </c>
      <c r="AH17" s="21">
        <f>IF('Financial Inputs'!$X$126=2,-AH93,0)</f>
        <v>0</v>
      </c>
      <c r="AI17" s="21">
        <f>IF('Financial Inputs'!$X$126=2,-AI93,0)</f>
        <v>0</v>
      </c>
      <c r="AJ17" s="21">
        <f>IF('Financial Inputs'!$X$126=2,-AJ93,0)</f>
        <v>0</v>
      </c>
    </row>
    <row r="18" spans="2:36" s="1" customFormat="1" x14ac:dyDescent="0.2">
      <c r="B18" s="1" t="s">
        <v>715</v>
      </c>
      <c r="E18" s="45" t="s">
        <v>0</v>
      </c>
      <c r="G18" s="21">
        <f>IF(G2&gt;'Financial Inputs'!$G$9,0,'Financial Inputs'!$P$145*'Detailed Cash Flow'!G5)</f>
        <v>15083.248080095684</v>
      </c>
      <c r="H18" s="21">
        <f>IF(H2&gt;'Financial Inputs'!$G$9,0,'Financial Inputs'!$P$145*'Detailed Cash Flow'!H5)</f>
        <v>15384.913041697597</v>
      </c>
      <c r="I18" s="21">
        <f>IF(I2&gt;'Financial Inputs'!$G$9,0,'Financial Inputs'!$P$145*'Detailed Cash Flow'!I5)</f>
        <v>15692.61130253155</v>
      </c>
      <c r="J18" s="21">
        <f>IF(J2&gt;'Financial Inputs'!$G$9,0,'Financial Inputs'!$P$145*'Detailed Cash Flow'!J5)</f>
        <v>16006.463528582179</v>
      </c>
      <c r="K18" s="21">
        <f>IF(K2&gt;'Financial Inputs'!$G$9,0,'Financial Inputs'!$P$145*'Detailed Cash Flow'!K5)</f>
        <v>16326.592799153823</v>
      </c>
      <c r="L18" s="21">
        <f>IF(L2&gt;'Financial Inputs'!$G$9,0,'Financial Inputs'!$P$145*'Detailed Cash Flow'!L5)</f>
        <v>16653.1246551369</v>
      </c>
      <c r="M18" s="21">
        <f>IF(M2&gt;'Financial Inputs'!$G$9,0,'Financial Inputs'!$P$145*'Detailed Cash Flow'!M5)</f>
        <v>16986.187148239638</v>
      </c>
      <c r="N18" s="21">
        <f>IF(N2&gt;'Financial Inputs'!$G$9,0,'Financial Inputs'!$P$145*'Detailed Cash Flow'!N5)</f>
        <v>17325.910891204432</v>
      </c>
      <c r="O18" s="21">
        <f>IF(O2&gt;'Financial Inputs'!$G$9,0,'Financial Inputs'!$P$145*'Detailed Cash Flow'!O5)</f>
        <v>17672.429109028522</v>
      </c>
      <c r="P18" s="21">
        <f>IF(P2&gt;'Financial Inputs'!$G$9,0,'Financial Inputs'!$P$145*'Detailed Cash Flow'!P5)</f>
        <v>18025.877691209091</v>
      </c>
      <c r="Q18" s="21">
        <f>IF(Q2&gt;'Financial Inputs'!$G$9,0,'Financial Inputs'!$P$145*'Detailed Cash Flow'!Q5)</f>
        <v>18386.395245033276</v>
      </c>
      <c r="R18" s="21">
        <f>IF(R2&gt;'Financial Inputs'!$G$9,0,'Financial Inputs'!$P$145*'Detailed Cash Flow'!R5)</f>
        <v>18754.123149933941</v>
      </c>
      <c r="S18" s="21">
        <f>IF(S2&gt;'Financial Inputs'!$G$9,0,'Financial Inputs'!$P$145*'Detailed Cash Flow'!S5)</f>
        <v>19129.205612932619</v>
      </c>
      <c r="T18" s="21">
        <f>IF(T2&gt;'Financial Inputs'!$G$9,0,'Financial Inputs'!$P$145*'Detailed Cash Flow'!T5)</f>
        <v>19511.789725191269</v>
      </c>
      <c r="U18" s="21">
        <f>IF(U2&gt;'Financial Inputs'!$G$9,0,'Financial Inputs'!$P$145*'Detailed Cash Flow'!U5)</f>
        <v>19902.025519695097</v>
      </c>
      <c r="V18" s="21">
        <f>IF(V2&gt;'Financial Inputs'!$G$9,0,'Financial Inputs'!$P$145*'Detailed Cash Flow'!V5)</f>
        <v>20300.066030089001</v>
      </c>
      <c r="W18" s="21">
        <f>IF(W2&gt;'Financial Inputs'!$G$9,0,'Financial Inputs'!$P$145*'Detailed Cash Flow'!W5)</f>
        <v>20706.067350690781</v>
      </c>
      <c r="X18" s="21">
        <f>IF(X2&gt;'Financial Inputs'!$G$9,0,'Financial Inputs'!$P$145*'Detailed Cash Flow'!X5)</f>
        <v>21120.188697704598</v>
      </c>
      <c r="Y18" s="21">
        <f>IF(Y2&gt;'Financial Inputs'!$G$9,0,'Financial Inputs'!$P$145*'Detailed Cash Flow'!Y5)</f>
        <v>21542.592471658689</v>
      </c>
      <c r="Z18" s="21">
        <f>IF(Z2&gt;'Financial Inputs'!$G$9,0,'Financial Inputs'!$P$145*'Detailed Cash Flow'!Z5)</f>
        <v>21973.444321091862</v>
      </c>
      <c r="AA18" s="21">
        <f>IF(AA2&gt;'Financial Inputs'!$G$9,0,'Financial Inputs'!$P$145*'Detailed Cash Flow'!AA5)</f>
        <v>0</v>
      </c>
      <c r="AB18" s="21">
        <f>IF(AB2&gt;'Financial Inputs'!$G$9,0,'Financial Inputs'!$P$145*'Detailed Cash Flow'!AB5)</f>
        <v>0</v>
      </c>
      <c r="AC18" s="21">
        <f>IF(AC2&gt;'Financial Inputs'!$G$9,0,'Financial Inputs'!$P$145*'Detailed Cash Flow'!AC5)</f>
        <v>0</v>
      </c>
      <c r="AD18" s="21">
        <f>IF(AD2&gt;'Financial Inputs'!$G$9,0,'Financial Inputs'!$P$145*'Detailed Cash Flow'!AD5)</f>
        <v>0</v>
      </c>
      <c r="AE18" s="21">
        <f>IF(AE2&gt;'Financial Inputs'!$G$9,0,'Financial Inputs'!$P$145*'Detailed Cash Flow'!AE5)</f>
        <v>0</v>
      </c>
      <c r="AF18" s="21">
        <f>IF(AF2&gt;'Financial Inputs'!$G$9,0,'Financial Inputs'!$P$145*'Detailed Cash Flow'!AF5)</f>
        <v>0</v>
      </c>
      <c r="AG18" s="21">
        <f>IF(AG2&gt;'Financial Inputs'!$G$9,0,'Financial Inputs'!$P$145*'Detailed Cash Flow'!AG5)</f>
        <v>0</v>
      </c>
      <c r="AH18" s="21">
        <f>IF(AH2&gt;'Financial Inputs'!$G$9,0,'Financial Inputs'!$P$145*'Detailed Cash Flow'!AH5)</f>
        <v>0</v>
      </c>
      <c r="AI18" s="21">
        <f>IF(AI2&gt;'Financial Inputs'!$G$9,0,'Financial Inputs'!$P$145*'Detailed Cash Flow'!AI5)</f>
        <v>0</v>
      </c>
      <c r="AJ18" s="21">
        <f>IF(AJ2&gt;'Financial Inputs'!$G$9,0,'Financial Inputs'!$P$145*'Detailed Cash Flow'!AJ5)</f>
        <v>0</v>
      </c>
    </row>
    <row r="19" spans="2:36" s="1" customFormat="1" ht="15.75" x14ac:dyDescent="0.25">
      <c r="B19" s="18" t="s">
        <v>66</v>
      </c>
      <c r="C19" s="18"/>
      <c r="D19" s="18"/>
      <c r="E19" s="47" t="s">
        <v>0</v>
      </c>
      <c r="F19" s="18"/>
      <c r="G19" s="23">
        <f>SUM(G16:G18)</f>
        <v>14992.338989186594</v>
      </c>
      <c r="H19" s="23">
        <f t="shared" ref="H19:AJ19" si="1">SUM(H16:H18)</f>
        <v>15292.185768970325</v>
      </c>
      <c r="I19" s="23">
        <f t="shared" si="1"/>
        <v>15598.029484349732</v>
      </c>
      <c r="J19" s="23">
        <f t="shared" si="1"/>
        <v>15909.990074036725</v>
      </c>
      <c r="K19" s="23">
        <f t="shared" si="1"/>
        <v>16228.189875517459</v>
      </c>
      <c r="L19" s="23">
        <f t="shared" si="1"/>
        <v>16552.753673027808</v>
      </c>
      <c r="M19" s="23">
        <f t="shared" si="1"/>
        <v>16883.808746488365</v>
      </c>
      <c r="N19" s="23">
        <f t="shared" si="1"/>
        <v>17221.484921418134</v>
      </c>
      <c r="O19" s="23">
        <f t="shared" si="1"/>
        <v>17565.914619846499</v>
      </c>
      <c r="P19" s="23">
        <f t="shared" si="1"/>
        <v>17917.232912243428</v>
      </c>
      <c r="Q19" s="23">
        <f t="shared" si="1"/>
        <v>18275.577570488298</v>
      </c>
      <c r="R19" s="23">
        <f t="shared" si="1"/>
        <v>18641.089121898065</v>
      </c>
      <c r="S19" s="23">
        <f t="shared" si="1"/>
        <v>19013.910904336026</v>
      </c>
      <c r="T19" s="23">
        <f t="shared" si="1"/>
        <v>19394.189122422744</v>
      </c>
      <c r="U19" s="23">
        <f t="shared" si="1"/>
        <v>19782.072904871198</v>
      </c>
      <c r="V19" s="23">
        <f t="shared" si="1"/>
        <v>20177.714362968625</v>
      </c>
      <c r="W19" s="23">
        <f t="shared" si="1"/>
        <v>20581.268650227998</v>
      </c>
      <c r="X19" s="23">
        <f t="shared" si="1"/>
        <v>20992.894023232559</v>
      </c>
      <c r="Y19" s="23">
        <f t="shared" si="1"/>
        <v>21412.751903697208</v>
      </c>
      <c r="Z19" s="23">
        <f t="shared" si="1"/>
        <v>21841.006941771153</v>
      </c>
      <c r="AA19" s="23">
        <f t="shared" si="1"/>
        <v>0</v>
      </c>
      <c r="AB19" s="23">
        <f t="shared" si="1"/>
        <v>0</v>
      </c>
      <c r="AC19" s="23">
        <f t="shared" si="1"/>
        <v>0</v>
      </c>
      <c r="AD19" s="23">
        <f t="shared" si="1"/>
        <v>0</v>
      </c>
      <c r="AE19" s="23">
        <f t="shared" si="1"/>
        <v>0</v>
      </c>
      <c r="AF19" s="23">
        <f t="shared" si="1"/>
        <v>0</v>
      </c>
      <c r="AG19" s="23">
        <f t="shared" si="1"/>
        <v>0</v>
      </c>
      <c r="AH19" s="23">
        <f t="shared" si="1"/>
        <v>0</v>
      </c>
      <c r="AI19" s="23">
        <f t="shared" si="1"/>
        <v>0</v>
      </c>
      <c r="AJ19" s="23">
        <f t="shared" si="1"/>
        <v>0</v>
      </c>
    </row>
    <row r="20" spans="2:36" s="1" customFormat="1" ht="15.75" x14ac:dyDescent="0.25">
      <c r="B20" s="18"/>
      <c r="C20" s="18"/>
      <c r="D20" s="18"/>
      <c r="E20" s="47"/>
      <c r="F20" s="18"/>
      <c r="G20" s="23">
        <f>IF(G19=0,"",G19)</f>
        <v>14992.338989186594</v>
      </c>
      <c r="H20" s="23">
        <f t="shared" ref="H20:AJ20" si="2">IF(H19=0,"",H19)</f>
        <v>15292.185768970325</v>
      </c>
      <c r="I20" s="23">
        <f t="shared" si="2"/>
        <v>15598.029484349732</v>
      </c>
      <c r="J20" s="23">
        <f t="shared" si="2"/>
        <v>15909.990074036725</v>
      </c>
      <c r="K20" s="23">
        <f t="shared" si="2"/>
        <v>16228.189875517459</v>
      </c>
      <c r="L20" s="23">
        <f t="shared" si="2"/>
        <v>16552.753673027808</v>
      </c>
      <c r="M20" s="23">
        <f t="shared" si="2"/>
        <v>16883.808746488365</v>
      </c>
      <c r="N20" s="23">
        <f t="shared" si="2"/>
        <v>17221.484921418134</v>
      </c>
      <c r="O20" s="23">
        <f t="shared" si="2"/>
        <v>17565.914619846499</v>
      </c>
      <c r="P20" s="23">
        <f t="shared" si="2"/>
        <v>17917.232912243428</v>
      </c>
      <c r="Q20" s="23">
        <f t="shared" si="2"/>
        <v>18275.577570488298</v>
      </c>
      <c r="R20" s="23">
        <f t="shared" si="2"/>
        <v>18641.089121898065</v>
      </c>
      <c r="S20" s="23">
        <f t="shared" si="2"/>
        <v>19013.910904336026</v>
      </c>
      <c r="T20" s="23">
        <f t="shared" si="2"/>
        <v>19394.189122422744</v>
      </c>
      <c r="U20" s="23">
        <f t="shared" si="2"/>
        <v>19782.072904871198</v>
      </c>
      <c r="V20" s="23">
        <f t="shared" si="2"/>
        <v>20177.714362968625</v>
      </c>
      <c r="W20" s="23">
        <f t="shared" si="2"/>
        <v>20581.268650227998</v>
      </c>
      <c r="X20" s="23">
        <f t="shared" si="2"/>
        <v>20992.894023232559</v>
      </c>
      <c r="Y20" s="23">
        <f t="shared" si="2"/>
        <v>21412.751903697208</v>
      </c>
      <c r="Z20" s="23">
        <f t="shared" si="2"/>
        <v>21841.006941771153</v>
      </c>
      <c r="AA20" s="23" t="str">
        <f t="shared" si="2"/>
        <v/>
      </c>
      <c r="AB20" s="23" t="str">
        <f t="shared" si="2"/>
        <v/>
      </c>
      <c r="AC20" s="23" t="str">
        <f t="shared" si="2"/>
        <v/>
      </c>
      <c r="AD20" s="23" t="str">
        <f t="shared" si="2"/>
        <v/>
      </c>
      <c r="AE20" s="23" t="str">
        <f t="shared" si="2"/>
        <v/>
      </c>
      <c r="AF20" s="23" t="str">
        <f t="shared" si="2"/>
        <v/>
      </c>
      <c r="AG20" s="23" t="str">
        <f t="shared" si="2"/>
        <v/>
      </c>
      <c r="AH20" s="23" t="str">
        <f t="shared" si="2"/>
        <v/>
      </c>
      <c r="AI20" s="23" t="str">
        <f t="shared" si="2"/>
        <v/>
      </c>
      <c r="AJ20" s="23" t="str">
        <f t="shared" si="2"/>
        <v/>
      </c>
    </row>
    <row r="21" spans="2:36" s="1" customFormat="1" x14ac:dyDescent="0.2">
      <c r="B21" s="24" t="s">
        <v>66</v>
      </c>
      <c r="C21" s="24"/>
      <c r="D21" s="24"/>
      <c r="E21" s="45" t="s">
        <v>724</v>
      </c>
      <c r="F21" s="24"/>
      <c r="G21" s="854">
        <f>IF(G$2&gt;'Financial Inputs'!$G$9,0,G19*100000/'Nutrient calculations'!$B$30)</f>
        <v>187.40332916019582</v>
      </c>
      <c r="H21" s="854">
        <f>IF(H$2&gt;'Financial Inputs'!$G$9,0,H19*100000/'Nutrient calculations'!$B$30)</f>
        <v>191.15139574339972</v>
      </c>
      <c r="I21" s="854">
        <f>IF(I$2&gt;'Financial Inputs'!$G$9,0,I19*100000/'Nutrient calculations'!$B$30)</f>
        <v>194.97442365826771</v>
      </c>
      <c r="J21" s="854">
        <f>IF(J$2&gt;'Financial Inputs'!$G$9,0,J19*100000/'Nutrient calculations'!$B$30)</f>
        <v>198.87391213143303</v>
      </c>
      <c r="K21" s="854">
        <f>IF(K$2&gt;'Financial Inputs'!$G$9,0,K19*100000/'Nutrient calculations'!$B$30)</f>
        <v>202.85139037406171</v>
      </c>
      <c r="L21" s="854">
        <f>IF(L$2&gt;'Financial Inputs'!$G$9,0,L19*100000/'Nutrient calculations'!$B$30)</f>
        <v>206.90841818154294</v>
      </c>
      <c r="M21" s="854">
        <f>IF(M$2&gt;'Financial Inputs'!$G$9,0,M19*100000/'Nutrient calculations'!$B$30)</f>
        <v>211.0465865451738</v>
      </c>
      <c r="N21" s="854">
        <f>IF(N$2&gt;'Financial Inputs'!$G$9,0,N19*100000/'Nutrient calculations'!$B$30)</f>
        <v>215.26751827607731</v>
      </c>
      <c r="O21" s="854">
        <f>IF(O$2&gt;'Financial Inputs'!$G$9,0,O19*100000/'Nutrient calculations'!$B$30)</f>
        <v>219.57286864159886</v>
      </c>
      <c r="P21" s="854">
        <f>IF(P$2&gt;'Financial Inputs'!$G$9,0,P19*100000/'Nutrient calculations'!$B$30)</f>
        <v>223.96432601443084</v>
      </c>
      <c r="Q21" s="854">
        <f>IF(Q$2&gt;'Financial Inputs'!$G$9,0,Q19*100000/'Nutrient calculations'!$B$30)</f>
        <v>228.44361253471948</v>
      </c>
      <c r="R21" s="854">
        <f>IF(R$2&gt;'Financial Inputs'!$G$9,0,R19*100000/'Nutrient calculations'!$B$30)</f>
        <v>233.01248478541387</v>
      </c>
      <c r="S21" s="854">
        <f>IF(S$2&gt;'Financial Inputs'!$G$9,0,S19*100000/'Nutrient calculations'!$B$30)</f>
        <v>237.67273448112215</v>
      </c>
      <c r="T21" s="854">
        <f>IF(T$2&gt;'Financial Inputs'!$G$9,0,T19*100000/'Nutrient calculations'!$B$30)</f>
        <v>242.42618917074455</v>
      </c>
      <c r="U21" s="854">
        <f>IF(U$2&gt;'Financial Inputs'!$G$9,0,U19*100000/'Nutrient calculations'!$B$30)</f>
        <v>247.27471295415944</v>
      </c>
      <c r="V21" s="854">
        <f>IF(V$2&gt;'Financial Inputs'!$G$9,0,V19*100000/'Nutrient calculations'!$B$30)</f>
        <v>252.22020721324267</v>
      </c>
      <c r="W21" s="854">
        <f>IF(W$2&gt;'Financial Inputs'!$G$9,0,W19*100000/'Nutrient calculations'!$B$30)</f>
        <v>257.26461135750753</v>
      </c>
      <c r="X21" s="854">
        <f>IF(X$2&gt;'Financial Inputs'!$G$9,0,X19*100000/'Nutrient calculations'!$B$30)</f>
        <v>262.40990358465768</v>
      </c>
      <c r="Y21" s="854">
        <f>IF(Y$2&gt;'Financial Inputs'!$G$9,0,Y19*100000/'Nutrient calculations'!$B$30)</f>
        <v>267.65810165635082</v>
      </c>
      <c r="Z21" s="854">
        <f>IF(Z$2&gt;'Financial Inputs'!$G$9,0,Z19*100000/'Nutrient calculations'!$B$30)</f>
        <v>273.01126368947786</v>
      </c>
      <c r="AA21" s="854">
        <f>IF(AA$2&gt;'Financial Inputs'!$G$9,0,AA19*100000/'Nutrient calculations'!$B$30)</f>
        <v>0</v>
      </c>
      <c r="AB21" s="854">
        <f>IF(AB$2&gt;'Financial Inputs'!$G$9,0,AB19*100000/'Nutrient calculations'!$B$30)</f>
        <v>0</v>
      </c>
      <c r="AC21" s="854">
        <f>IF(AC$2&gt;'Financial Inputs'!$G$9,0,AC19*100000/'Nutrient calculations'!$B$30)</f>
        <v>0</v>
      </c>
      <c r="AD21" s="854">
        <f>IF(AD$2&gt;'Financial Inputs'!$G$9,0,AD19*100000/'Nutrient calculations'!$B$30)</f>
        <v>0</v>
      </c>
      <c r="AE21" s="854">
        <f>IF(AE$2&gt;'Financial Inputs'!$G$9,0,AE19*100000/'Nutrient calculations'!$B$30)</f>
        <v>0</v>
      </c>
      <c r="AF21" s="854">
        <f>IF(AF$2&gt;'Financial Inputs'!$G$9,0,AF19*100000/'Nutrient calculations'!$B$30)</f>
        <v>0</v>
      </c>
      <c r="AG21" s="854">
        <f>IF(AG$2&gt;'Financial Inputs'!$G$9,0,AG19*100000/'Nutrient calculations'!$B$30)</f>
        <v>0</v>
      </c>
      <c r="AH21" s="854">
        <f>IF(AH$2&gt;'Financial Inputs'!$G$9,0,AH19*100000/'Nutrient calculations'!$B$30)</f>
        <v>0</v>
      </c>
      <c r="AI21" s="854">
        <f>IF(AI$2&gt;'Financial Inputs'!$G$9,0,AI19*100000/'Nutrient calculations'!$B$30)</f>
        <v>0</v>
      </c>
      <c r="AJ21" s="854">
        <f>IF(AJ$2&gt;'Financial Inputs'!$G$9,0,AJ19*100000/'Nutrient calculations'!$B$30)</f>
        <v>0</v>
      </c>
    </row>
    <row r="22" spans="2:36" s="1" customFormat="1" x14ac:dyDescent="0.2">
      <c r="E22" s="45"/>
    </row>
    <row r="23" spans="2:36" s="1" customFormat="1" ht="15.75" x14ac:dyDescent="0.25">
      <c r="B23" s="18" t="s">
        <v>67</v>
      </c>
      <c r="C23" s="18"/>
      <c r="D23" s="18"/>
      <c r="E23" s="45" t="s">
        <v>0</v>
      </c>
      <c r="G23" s="23">
        <f t="shared" ref="G23:AJ23" si="3">G11+G19</f>
        <v>132354.85128133019</v>
      </c>
      <c r="H23" s="23">
        <f t="shared" si="3"/>
        <v>133505.9410569568</v>
      </c>
      <c r="I23" s="23">
        <f t="shared" si="3"/>
        <v>134680.05262809596</v>
      </c>
      <c r="J23" s="23">
        <f t="shared" si="3"/>
        <v>135877.64643065786</v>
      </c>
      <c r="K23" s="23">
        <f t="shared" si="3"/>
        <v>137099.19210927101</v>
      </c>
      <c r="L23" s="23">
        <f t="shared" si="3"/>
        <v>138345.16870145645</v>
      </c>
      <c r="M23" s="23">
        <f t="shared" si="3"/>
        <v>139616.06482548555</v>
      </c>
      <c r="N23" s="23">
        <f t="shared" si="3"/>
        <v>140912.37887199529</v>
      </c>
      <c r="O23" s="23">
        <f t="shared" si="3"/>
        <v>142234.6191994352</v>
      </c>
      <c r="P23" s="23">
        <f t="shared" si="3"/>
        <v>143583.3043334239</v>
      </c>
      <c r="Q23" s="23">
        <f t="shared" si="3"/>
        <v>144958.96317009238</v>
      </c>
      <c r="R23" s="23">
        <f t="shared" si="3"/>
        <v>146362.13518349422</v>
      </c>
      <c r="S23" s="23">
        <f t="shared" si="3"/>
        <v>147793.37063716413</v>
      </c>
      <c r="T23" s="23">
        <f t="shared" si="3"/>
        <v>149253.23079990738</v>
      </c>
      <c r="U23" s="23">
        <f t="shared" si="3"/>
        <v>150742.28816590554</v>
      </c>
      <c r="V23" s="23">
        <f t="shared" si="3"/>
        <v>152261.12667922367</v>
      </c>
      <c r="W23" s="23">
        <f t="shared" si="3"/>
        <v>153810.3419628081</v>
      </c>
      <c r="X23" s="23">
        <f t="shared" si="3"/>
        <v>155390.54155206433</v>
      </c>
      <c r="Y23" s="23">
        <f t="shared" si="3"/>
        <v>157002.34513310558</v>
      </c>
      <c r="Z23" s="23">
        <f t="shared" si="3"/>
        <v>158646.3847857677</v>
      </c>
      <c r="AA23" s="23">
        <f t="shared" si="3"/>
        <v>0</v>
      </c>
      <c r="AB23" s="23">
        <f t="shared" si="3"/>
        <v>0</v>
      </c>
      <c r="AC23" s="23">
        <f t="shared" si="3"/>
        <v>0</v>
      </c>
      <c r="AD23" s="23">
        <f t="shared" si="3"/>
        <v>0</v>
      </c>
      <c r="AE23" s="23">
        <f t="shared" si="3"/>
        <v>0</v>
      </c>
      <c r="AF23" s="23">
        <f t="shared" si="3"/>
        <v>0</v>
      </c>
      <c r="AG23" s="23">
        <f t="shared" si="3"/>
        <v>0</v>
      </c>
      <c r="AH23" s="23">
        <f t="shared" si="3"/>
        <v>0</v>
      </c>
      <c r="AI23" s="23">
        <f t="shared" si="3"/>
        <v>0</v>
      </c>
      <c r="AJ23" s="23">
        <f t="shared" si="3"/>
        <v>0</v>
      </c>
    </row>
    <row r="24" spans="2:36" s="1" customFormat="1" ht="15.75" x14ac:dyDescent="0.25">
      <c r="B24" s="18"/>
      <c r="C24" s="18"/>
      <c r="D24" s="18"/>
      <c r="E24" s="45" t="s">
        <v>144</v>
      </c>
      <c r="F24" s="45" t="s">
        <v>113</v>
      </c>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row>
    <row r="25" spans="2:36" s="1" customFormat="1" x14ac:dyDescent="0.2">
      <c r="B25" s="24" t="s">
        <v>87</v>
      </c>
      <c r="C25" s="24"/>
      <c r="D25" s="24"/>
      <c r="E25" s="25">
        <f>IF(OR('Financial Inputs'!$P$82=0,'Financial Inputs'!$P$82=""),"N/A",AVERAGE(G25:AJ25))</f>
        <v>369.91584188805012</v>
      </c>
      <c r="F25" s="25">
        <f>IF(OR('Financial Inputs'!$P$82=0,'Financial Inputs'!$P$82=""),"N/A",MIN(G25:AJ25))</f>
        <v>355.24473025700581</v>
      </c>
      <c r="G25" s="25">
        <f>IF(OR('Financial Inputs'!$P$82=0,'Financial Inputs'!$P$82=""),"N/A",IF(G$2&gt;'Financial Inputs'!$P$83,"N/A",(G23)/-G103))</f>
        <v>355.24473025700581</v>
      </c>
      <c r="H25" s="25">
        <f>IF(OR('Financial Inputs'!$P$82=0,'Financial Inputs'!$P$82=""),"N/A",IF(H$2&gt;'Financial Inputs'!$P$83,"N/A",(H23)/-H103))</f>
        <v>358.33429269378337</v>
      </c>
      <c r="I25" s="25">
        <f>IF(OR('Financial Inputs'!$P$82=0,'Financial Inputs'!$P$82=""),"N/A",IF(I$2&gt;'Financial Inputs'!$P$83,"N/A",(I23)/-I103))</f>
        <v>361.48564637929644</v>
      </c>
      <c r="J25" s="25">
        <f>IF(OR('Financial Inputs'!$P$82=0,'Financial Inputs'!$P$82=""),"N/A",IF(J$2&gt;'Financial Inputs'!$P$83,"N/A",(J23)/-J103))</f>
        <v>364.70002713851972</v>
      </c>
      <c r="K25" s="25">
        <f>IF(OR('Financial Inputs'!$P$82=0,'Financial Inputs'!$P$82=""),"N/A",IF(K$2&gt;'Financial Inputs'!$P$83,"N/A",(K23)/-K103))</f>
        <v>367.97869551292746</v>
      </c>
      <c r="L25" s="25">
        <f>IF(OR('Financial Inputs'!$P$82=0,'Financial Inputs'!$P$82=""),"N/A",IF(L$2&gt;'Financial Inputs'!$P$83,"N/A",(L23)/-L103))</f>
        <v>371.3229372548235</v>
      </c>
      <c r="M25" s="25">
        <f>IF(OR('Financial Inputs'!$P$82=0,'Financial Inputs'!$P$82=""),"N/A",IF(M$2&gt;'Financial Inputs'!$P$83,"N/A",(M23)/-M103))</f>
        <v>374.73406383155725</v>
      </c>
      <c r="N25" s="25">
        <f>IF(OR('Financial Inputs'!$P$82=0,'Financial Inputs'!$P$82=""),"N/A",IF(N$2&gt;'Financial Inputs'!$P$83,"N/A",(N23)/-N103))</f>
        <v>378.21341293982584</v>
      </c>
      <c r="O25" s="25">
        <f>IF(OR('Financial Inputs'!$P$82=0,'Financial Inputs'!$P$82=""),"N/A",IF(O$2&gt;'Financial Inputs'!$P$83,"N/A",(O23)/-O103))</f>
        <v>381.76234903025977</v>
      </c>
      <c r="P25" s="25">
        <f>IF(OR('Financial Inputs'!$P$82=0,'Financial Inputs'!$P$82=""),"N/A",IF(P$2&gt;'Financial Inputs'!$P$83,"N/A",(P23)/-P103))</f>
        <v>385.38226384250237</v>
      </c>
      <c r="Q25" s="25" t="str">
        <f>IF(OR('Financial Inputs'!$P$82=0,'Financial Inputs'!$P$82=""),"N/A",IF(Q$2&gt;'Financial Inputs'!$P$83,"N/A",(Q23)/-Q103))</f>
        <v>N/A</v>
      </c>
      <c r="R25" s="25" t="str">
        <f>IF(OR('Financial Inputs'!$P$82=0,'Financial Inputs'!$P$82=""),"N/A",IF(R$2&gt;'Financial Inputs'!$P$83,"N/A",(R23)/-R103))</f>
        <v>N/A</v>
      </c>
      <c r="S25" s="25" t="str">
        <f>IF(OR('Financial Inputs'!$P$82=0,'Financial Inputs'!$P$82=""),"N/A",IF(S$2&gt;'Financial Inputs'!$P$83,"N/A",(S23)/-S103))</f>
        <v>N/A</v>
      </c>
      <c r="T25" s="25" t="str">
        <f>IF(OR('Financial Inputs'!$P$82=0,'Financial Inputs'!$P$82=""),"N/A",IF(T$2&gt;'Financial Inputs'!$P$83,"N/A",(T23)/-T103))</f>
        <v>N/A</v>
      </c>
      <c r="U25" s="25" t="str">
        <f>IF(OR('Financial Inputs'!$P$82=0,'Financial Inputs'!$P$82=""),"N/A",IF(U$2&gt;'Financial Inputs'!$P$83,"N/A",(U23)/-U103))</f>
        <v>N/A</v>
      </c>
      <c r="V25" s="25" t="str">
        <f>IF(OR('Financial Inputs'!$P$82=0,'Financial Inputs'!$P$82=""),"N/A",IF(V$2&gt;'Financial Inputs'!$P$83,"N/A",(V23)/-V103))</f>
        <v>N/A</v>
      </c>
      <c r="W25" s="25" t="str">
        <f>IF(OR('Financial Inputs'!$P$82=0,'Financial Inputs'!$P$82=""),"N/A",IF(W$2&gt;'Financial Inputs'!$P$83,"N/A",(W23)/-W103))</f>
        <v>N/A</v>
      </c>
      <c r="X25" s="25" t="str">
        <f>IF(OR('Financial Inputs'!$P$82=0,'Financial Inputs'!$P$82=""),"N/A",IF(X$2&gt;'Financial Inputs'!$P$83,"N/A",(X23)/-X103))</f>
        <v>N/A</v>
      </c>
      <c r="Y25" s="25" t="str">
        <f>IF(OR('Financial Inputs'!$P$82=0,'Financial Inputs'!$P$82=""),"N/A",IF(Y$2&gt;'Financial Inputs'!$P$83,"N/A",(Y23)/-Y103))</f>
        <v>N/A</v>
      </c>
      <c r="Z25" s="25" t="str">
        <f>IF(OR('Financial Inputs'!$P$82=0,'Financial Inputs'!$P$82=""),"N/A",IF(Z$2&gt;'Financial Inputs'!$P$83,"N/A",(Z23)/-Z103))</f>
        <v>N/A</v>
      </c>
      <c r="AA25" s="25" t="str">
        <f>IF(OR('Financial Inputs'!$P$82=0,'Financial Inputs'!$P$82=""),"N/A",IF(AA$2&gt;'Financial Inputs'!$P$83,"N/A",(AA23)/-AA103))</f>
        <v>N/A</v>
      </c>
      <c r="AB25" s="25" t="str">
        <f>IF(OR('Financial Inputs'!$P$82=0,'Financial Inputs'!$P$82=""),"N/A",IF(AB$2&gt;'Financial Inputs'!$P$83,"N/A",(AB23)/-AB103))</f>
        <v>N/A</v>
      </c>
      <c r="AC25" s="25" t="str">
        <f>IF(OR('Financial Inputs'!$P$82=0,'Financial Inputs'!$P$82=""),"N/A",IF(AC$2&gt;'Financial Inputs'!$P$83,"N/A",(AC23)/-AC103))</f>
        <v>N/A</v>
      </c>
      <c r="AD25" s="25" t="str">
        <f>IF(OR('Financial Inputs'!$P$82=0,'Financial Inputs'!$P$82=""),"N/A",IF(AD$2&gt;'Financial Inputs'!$P$83,"N/A",(AD23)/-AD103))</f>
        <v>N/A</v>
      </c>
      <c r="AE25" s="25" t="str">
        <f>IF(OR('Financial Inputs'!$P$82=0,'Financial Inputs'!$P$82=""),"N/A",IF(AE$2&gt;'Financial Inputs'!$P$83,"N/A",(AE23)/-AE103))</f>
        <v>N/A</v>
      </c>
      <c r="AF25" s="25" t="str">
        <f>IF(OR('Financial Inputs'!$P$82=0,'Financial Inputs'!$P$82=""),"N/A",IF(AF$2&gt;'Financial Inputs'!$P$83,"N/A",(AF23)/-AF103))</f>
        <v>N/A</v>
      </c>
      <c r="AG25" s="25" t="str">
        <f>IF(OR('Financial Inputs'!$P$82=0,'Financial Inputs'!$P$82=""),"N/A",IF(AG$2&gt;'Financial Inputs'!$P$83,"N/A",(AG23)/-AG103))</f>
        <v>N/A</v>
      </c>
      <c r="AH25" s="25" t="str">
        <f>IF(OR('Financial Inputs'!$P$82=0,'Financial Inputs'!$P$82=""),"N/A",IF(AH$2&gt;'Financial Inputs'!$P$83,"N/A",(AH23)/-AH103))</f>
        <v>N/A</v>
      </c>
      <c r="AI25" s="25" t="str">
        <f>IF(OR('Financial Inputs'!$P$82=0,'Financial Inputs'!$P$82=""),"N/A",IF(AI$2&gt;'Financial Inputs'!$P$83,"N/A",(AI23)/-AI103))</f>
        <v>N/A</v>
      </c>
      <c r="AJ25" s="25" t="str">
        <f>IF(OR('Financial Inputs'!$P$82=0,'Financial Inputs'!$P$82=""),"N/A",IF(AJ$2&gt;'Financial Inputs'!$P$83,"N/A",(AJ23)/-AJ103))</f>
        <v>N/A</v>
      </c>
    </row>
    <row r="26" spans="2:36" s="1" customFormat="1" x14ac:dyDescent="0.2">
      <c r="B26" s="24" t="s">
        <v>612</v>
      </c>
      <c r="C26" s="24"/>
      <c r="D26" s="24"/>
      <c r="E26" s="45"/>
      <c r="F26" s="25"/>
      <c r="G26" s="249">
        <f t="shared" ref="G26:AJ26" si="4">IF(G25=$F$25,G2,"")</f>
        <v>1</v>
      </c>
      <c r="H26" s="249" t="str">
        <f t="shared" si="4"/>
        <v/>
      </c>
      <c r="I26" s="249" t="str">
        <f t="shared" si="4"/>
        <v/>
      </c>
      <c r="J26" s="249" t="str">
        <f t="shared" si="4"/>
        <v/>
      </c>
      <c r="K26" s="249" t="str">
        <f t="shared" si="4"/>
        <v/>
      </c>
      <c r="L26" s="249" t="str">
        <f t="shared" si="4"/>
        <v/>
      </c>
      <c r="M26" s="249" t="str">
        <f t="shared" si="4"/>
        <v/>
      </c>
      <c r="N26" s="249" t="str">
        <f t="shared" si="4"/>
        <v/>
      </c>
      <c r="O26" s="249" t="str">
        <f t="shared" si="4"/>
        <v/>
      </c>
      <c r="P26" s="249" t="str">
        <f t="shared" si="4"/>
        <v/>
      </c>
      <c r="Q26" s="249" t="str">
        <f t="shared" si="4"/>
        <v/>
      </c>
      <c r="R26" s="249" t="str">
        <f t="shared" si="4"/>
        <v/>
      </c>
      <c r="S26" s="249" t="str">
        <f t="shared" si="4"/>
        <v/>
      </c>
      <c r="T26" s="249" t="str">
        <f t="shared" si="4"/>
        <v/>
      </c>
      <c r="U26" s="249" t="str">
        <f t="shared" si="4"/>
        <v/>
      </c>
      <c r="V26" s="249" t="str">
        <f t="shared" si="4"/>
        <v/>
      </c>
      <c r="W26" s="249" t="str">
        <f t="shared" si="4"/>
        <v/>
      </c>
      <c r="X26" s="249" t="str">
        <f t="shared" si="4"/>
        <v/>
      </c>
      <c r="Y26" s="249" t="str">
        <f t="shared" si="4"/>
        <v/>
      </c>
      <c r="Z26" s="249" t="str">
        <f t="shared" si="4"/>
        <v/>
      </c>
      <c r="AA26" s="249" t="str">
        <f t="shared" si="4"/>
        <v/>
      </c>
      <c r="AB26" s="249" t="str">
        <f t="shared" si="4"/>
        <v/>
      </c>
      <c r="AC26" s="249" t="str">
        <f t="shared" si="4"/>
        <v/>
      </c>
      <c r="AD26" s="249" t="str">
        <f t="shared" si="4"/>
        <v/>
      </c>
      <c r="AE26" s="249" t="str">
        <f t="shared" si="4"/>
        <v/>
      </c>
      <c r="AF26" s="249" t="str">
        <f t="shared" si="4"/>
        <v/>
      </c>
      <c r="AG26" s="249" t="str">
        <f t="shared" si="4"/>
        <v/>
      </c>
      <c r="AH26" s="249" t="str">
        <f t="shared" si="4"/>
        <v/>
      </c>
      <c r="AI26" s="249" t="str">
        <f t="shared" si="4"/>
        <v/>
      </c>
      <c r="AJ26" s="249" t="str">
        <f t="shared" si="4"/>
        <v/>
      </c>
    </row>
    <row r="27" spans="2:36" s="1" customFormat="1" x14ac:dyDescent="0.2">
      <c r="B27" s="1" t="s">
        <v>72</v>
      </c>
      <c r="E27" s="45"/>
      <c r="G27" s="21">
        <f>G104</f>
        <v>-200.00000000000017</v>
      </c>
      <c r="H27" s="21">
        <f t="shared" ref="H27:AJ27" si="5">H104</f>
        <v>-186.19410226058508</v>
      </c>
      <c r="I27" s="21">
        <f t="shared" si="5"/>
        <v>-171.28373270201675</v>
      </c>
      <c r="J27" s="21">
        <f t="shared" si="5"/>
        <v>-155.180533578763</v>
      </c>
      <c r="K27" s="21">
        <f t="shared" si="5"/>
        <v>-137.78907852564893</v>
      </c>
      <c r="L27" s="21">
        <f t="shared" si="5"/>
        <v>-119.00630706828575</v>
      </c>
      <c r="M27" s="21">
        <f t="shared" si="5"/>
        <v>-98.720913894333492</v>
      </c>
      <c r="N27" s="21">
        <f t="shared" si="5"/>
        <v>-76.812689266465057</v>
      </c>
      <c r="O27" s="21">
        <f t="shared" si="5"/>
        <v>-53.151806668367158</v>
      </c>
      <c r="P27" s="21">
        <f t="shared" si="5"/>
        <v>-27.598053462421401</v>
      </c>
      <c r="Q27" s="21">
        <f t="shared" si="5"/>
        <v>0</v>
      </c>
      <c r="R27" s="21">
        <f t="shared" si="5"/>
        <v>0</v>
      </c>
      <c r="S27" s="21">
        <f t="shared" si="5"/>
        <v>0</v>
      </c>
      <c r="T27" s="21">
        <f t="shared" si="5"/>
        <v>0</v>
      </c>
      <c r="U27" s="21">
        <f t="shared" si="5"/>
        <v>0</v>
      </c>
      <c r="V27" s="21">
        <f t="shared" si="5"/>
        <v>0</v>
      </c>
      <c r="W27" s="21">
        <f t="shared" si="5"/>
        <v>0</v>
      </c>
      <c r="X27" s="21">
        <f t="shared" si="5"/>
        <v>0</v>
      </c>
      <c r="Y27" s="21">
        <f t="shared" si="5"/>
        <v>0</v>
      </c>
      <c r="Z27" s="21">
        <f t="shared" si="5"/>
        <v>0</v>
      </c>
      <c r="AA27" s="21">
        <f t="shared" si="5"/>
        <v>0</v>
      </c>
      <c r="AB27" s="21">
        <f t="shared" si="5"/>
        <v>0</v>
      </c>
      <c r="AC27" s="21">
        <f t="shared" si="5"/>
        <v>0</v>
      </c>
      <c r="AD27" s="21">
        <f t="shared" si="5"/>
        <v>0</v>
      </c>
      <c r="AE27" s="21">
        <f t="shared" si="5"/>
        <v>0</v>
      </c>
      <c r="AF27" s="21">
        <f t="shared" si="5"/>
        <v>0</v>
      </c>
      <c r="AG27" s="21">
        <f t="shared" si="5"/>
        <v>0</v>
      </c>
      <c r="AH27" s="21">
        <f t="shared" si="5"/>
        <v>0</v>
      </c>
      <c r="AI27" s="21">
        <f t="shared" si="5"/>
        <v>0</v>
      </c>
      <c r="AJ27" s="21">
        <f t="shared" si="5"/>
        <v>0</v>
      </c>
    </row>
    <row r="28" spans="2:36" s="1" customFormat="1" x14ac:dyDescent="0.2">
      <c r="B28" s="1" t="s">
        <v>677</v>
      </c>
      <c r="E28" s="865">
        <f>'Financial Inputs'!G29</f>
        <v>2.5000000000000001E-3</v>
      </c>
      <c r="G28" s="21">
        <f t="shared" ref="G28:AJ28" si="6">-$E$28*G111</f>
        <v>-5.8185656956432785</v>
      </c>
      <c r="H28" s="21">
        <f t="shared" si="6"/>
        <v>-5.3526166469380199</v>
      </c>
      <c r="I28" s="21">
        <f t="shared" si="6"/>
        <v>-4.8493916743363403</v>
      </c>
      <c r="J28" s="21">
        <f t="shared" si="6"/>
        <v>-4.3059087039265256</v>
      </c>
      <c r="K28" s="21">
        <f t="shared" si="6"/>
        <v>-3.7189470958839266</v>
      </c>
      <c r="L28" s="21">
        <f t="shared" si="6"/>
        <v>-3.085028559197919</v>
      </c>
      <c r="M28" s="21">
        <f t="shared" si="6"/>
        <v>-2.4003965395770308</v>
      </c>
      <c r="N28" s="21">
        <f t="shared" si="6"/>
        <v>-1.6609939583864719</v>
      </c>
      <c r="O28" s="21">
        <f t="shared" si="6"/>
        <v>-0.862439170700668</v>
      </c>
      <c r="P28" s="21">
        <f t="shared" si="6"/>
        <v>0</v>
      </c>
      <c r="Q28" s="21">
        <f t="shared" si="6"/>
        <v>0</v>
      </c>
      <c r="R28" s="21">
        <f t="shared" si="6"/>
        <v>0</v>
      </c>
      <c r="S28" s="21">
        <f t="shared" si="6"/>
        <v>0</v>
      </c>
      <c r="T28" s="21">
        <f t="shared" si="6"/>
        <v>0</v>
      </c>
      <c r="U28" s="21">
        <f t="shared" si="6"/>
        <v>0</v>
      </c>
      <c r="V28" s="21">
        <f t="shared" si="6"/>
        <v>0</v>
      </c>
      <c r="W28" s="21">
        <f t="shared" si="6"/>
        <v>0</v>
      </c>
      <c r="X28" s="21">
        <f t="shared" si="6"/>
        <v>0</v>
      </c>
      <c r="Y28" s="21">
        <f t="shared" si="6"/>
        <v>0</v>
      </c>
      <c r="Z28" s="21">
        <f t="shared" si="6"/>
        <v>0</v>
      </c>
      <c r="AA28" s="21">
        <f t="shared" si="6"/>
        <v>0</v>
      </c>
      <c r="AB28" s="21">
        <f t="shared" si="6"/>
        <v>0</v>
      </c>
      <c r="AC28" s="21">
        <f t="shared" si="6"/>
        <v>0</v>
      </c>
      <c r="AD28" s="21">
        <f t="shared" si="6"/>
        <v>0</v>
      </c>
      <c r="AE28" s="21">
        <f t="shared" si="6"/>
        <v>0</v>
      </c>
      <c r="AF28" s="21">
        <f t="shared" si="6"/>
        <v>0</v>
      </c>
      <c r="AG28" s="21">
        <f t="shared" si="6"/>
        <v>0</v>
      </c>
      <c r="AH28" s="21">
        <f t="shared" si="6"/>
        <v>0</v>
      </c>
      <c r="AI28" s="21">
        <f t="shared" si="6"/>
        <v>0</v>
      </c>
      <c r="AJ28" s="21">
        <f t="shared" si="6"/>
        <v>0</v>
      </c>
    </row>
    <row r="29" spans="2:36" s="1" customFormat="1" ht="15.75" x14ac:dyDescent="0.25">
      <c r="B29" s="18" t="s">
        <v>40</v>
      </c>
      <c r="C29" s="18"/>
      <c r="D29" s="18"/>
      <c r="E29" s="45"/>
      <c r="F29" s="18"/>
      <c r="G29" s="23">
        <f>G23+G27+G28</f>
        <v>132149.03271563456</v>
      </c>
      <c r="H29" s="23">
        <f t="shared" ref="H29:AJ29" si="7">H23+H27+H28</f>
        <v>133314.39433804929</v>
      </c>
      <c r="I29" s="23">
        <f t="shared" si="7"/>
        <v>134503.9195037196</v>
      </c>
      <c r="J29" s="23">
        <f t="shared" si="7"/>
        <v>135718.15998837518</v>
      </c>
      <c r="K29" s="23">
        <f t="shared" si="7"/>
        <v>136957.68408364948</v>
      </c>
      <c r="L29" s="23">
        <f t="shared" si="7"/>
        <v>138223.07736582897</v>
      </c>
      <c r="M29" s="23">
        <f t="shared" si="7"/>
        <v>139514.94351505165</v>
      </c>
      <c r="N29" s="23">
        <f t="shared" si="7"/>
        <v>140833.90518877044</v>
      </c>
      <c r="O29" s="23">
        <f t="shared" si="7"/>
        <v>142180.60495359611</v>
      </c>
      <c r="P29" s="23">
        <f t="shared" si="7"/>
        <v>143555.70627996148</v>
      </c>
      <c r="Q29" s="23">
        <f t="shared" si="7"/>
        <v>144958.96317009238</v>
      </c>
      <c r="R29" s="23">
        <f t="shared" si="7"/>
        <v>146362.13518349422</v>
      </c>
      <c r="S29" s="23">
        <f t="shared" si="7"/>
        <v>147793.37063716413</v>
      </c>
      <c r="T29" s="23">
        <f t="shared" si="7"/>
        <v>149253.23079990738</v>
      </c>
      <c r="U29" s="23">
        <f t="shared" si="7"/>
        <v>150742.28816590554</v>
      </c>
      <c r="V29" s="23">
        <f t="shared" si="7"/>
        <v>152261.12667922367</v>
      </c>
      <c r="W29" s="23">
        <f t="shared" si="7"/>
        <v>153810.3419628081</v>
      </c>
      <c r="X29" s="23">
        <f t="shared" si="7"/>
        <v>155390.54155206433</v>
      </c>
      <c r="Y29" s="23">
        <f t="shared" si="7"/>
        <v>157002.34513310558</v>
      </c>
      <c r="Z29" s="23">
        <f t="shared" si="7"/>
        <v>158646.3847857677</v>
      </c>
      <c r="AA29" s="23">
        <f t="shared" si="7"/>
        <v>0</v>
      </c>
      <c r="AB29" s="23">
        <f t="shared" si="7"/>
        <v>0</v>
      </c>
      <c r="AC29" s="23">
        <f t="shared" si="7"/>
        <v>0</v>
      </c>
      <c r="AD29" s="23">
        <f t="shared" si="7"/>
        <v>0</v>
      </c>
      <c r="AE29" s="23">
        <f t="shared" si="7"/>
        <v>0</v>
      </c>
      <c r="AF29" s="23">
        <f t="shared" si="7"/>
        <v>0</v>
      </c>
      <c r="AG29" s="23">
        <f t="shared" si="7"/>
        <v>0</v>
      </c>
      <c r="AH29" s="23">
        <f t="shared" si="7"/>
        <v>0</v>
      </c>
      <c r="AI29" s="23">
        <f t="shared" si="7"/>
        <v>0</v>
      </c>
      <c r="AJ29" s="23">
        <f t="shared" si="7"/>
        <v>0</v>
      </c>
    </row>
    <row r="30" spans="2:36" s="1" customFormat="1" x14ac:dyDescent="0.2">
      <c r="E30" s="45"/>
    </row>
    <row r="31" spans="2:36" s="1" customFormat="1" x14ac:dyDescent="0.2">
      <c r="B31" s="1" t="s">
        <v>71</v>
      </c>
      <c r="E31" s="45"/>
      <c r="G31" s="21">
        <f>G105</f>
        <v>-172.57372174268852</v>
      </c>
      <c r="H31" s="21">
        <f t="shared" ref="H31:AJ31" si="8">H105</f>
        <v>-186.37961948210364</v>
      </c>
      <c r="I31" s="21">
        <f t="shared" si="8"/>
        <v>-201.28998904067194</v>
      </c>
      <c r="J31" s="21">
        <f t="shared" si="8"/>
        <v>-217.39318816392569</v>
      </c>
      <c r="K31" s="21">
        <f t="shared" si="8"/>
        <v>-234.78464321703976</v>
      </c>
      <c r="L31" s="21">
        <f t="shared" si="8"/>
        <v>-253.56741467440295</v>
      </c>
      <c r="M31" s="21">
        <f t="shared" si="8"/>
        <v>-273.85280784835521</v>
      </c>
      <c r="N31" s="21">
        <f t="shared" si="8"/>
        <v>-295.76103247622365</v>
      </c>
      <c r="O31" s="21">
        <f t="shared" si="8"/>
        <v>-319.42191507432153</v>
      </c>
      <c r="P31" s="21">
        <f t="shared" si="8"/>
        <v>-344.97566828026731</v>
      </c>
      <c r="Q31" s="21">
        <f t="shared" si="8"/>
        <v>0</v>
      </c>
      <c r="R31" s="21">
        <f t="shared" si="8"/>
        <v>0</v>
      </c>
      <c r="S31" s="21">
        <f t="shared" si="8"/>
        <v>0</v>
      </c>
      <c r="T31" s="21">
        <f t="shared" si="8"/>
        <v>0</v>
      </c>
      <c r="U31" s="21">
        <f t="shared" si="8"/>
        <v>0</v>
      </c>
      <c r="V31" s="21">
        <f t="shared" si="8"/>
        <v>0</v>
      </c>
      <c r="W31" s="21">
        <f t="shared" si="8"/>
        <v>0</v>
      </c>
      <c r="X31" s="21">
        <f t="shared" si="8"/>
        <v>0</v>
      </c>
      <c r="Y31" s="21">
        <f t="shared" si="8"/>
        <v>0</v>
      </c>
      <c r="Z31" s="21">
        <f t="shared" si="8"/>
        <v>0</v>
      </c>
      <c r="AA31" s="21">
        <f t="shared" si="8"/>
        <v>0</v>
      </c>
      <c r="AB31" s="21">
        <f t="shared" si="8"/>
        <v>0</v>
      </c>
      <c r="AC31" s="21">
        <f t="shared" si="8"/>
        <v>0</v>
      </c>
      <c r="AD31" s="21">
        <f t="shared" si="8"/>
        <v>0</v>
      </c>
      <c r="AE31" s="21">
        <f t="shared" si="8"/>
        <v>0</v>
      </c>
      <c r="AF31" s="21">
        <f t="shared" si="8"/>
        <v>0</v>
      </c>
      <c r="AG31" s="21">
        <f t="shared" si="8"/>
        <v>0</v>
      </c>
      <c r="AH31" s="21">
        <f t="shared" si="8"/>
        <v>0</v>
      </c>
      <c r="AI31" s="21">
        <f t="shared" si="8"/>
        <v>0</v>
      </c>
      <c r="AJ31" s="21">
        <f t="shared" si="8"/>
        <v>0</v>
      </c>
    </row>
    <row r="32" spans="2:36" s="1" customFormat="1" ht="15.75" x14ac:dyDescent="0.25">
      <c r="B32" s="26" t="s">
        <v>41</v>
      </c>
      <c r="C32" s="26"/>
      <c r="D32" s="26"/>
      <c r="E32" s="212"/>
      <c r="F32" s="212"/>
      <c r="G32" s="23">
        <f t="shared" ref="G32:AJ32" si="9">G29+SUM(G31:G31)</f>
        <v>131976.45899389187</v>
      </c>
      <c r="H32" s="23">
        <f t="shared" si="9"/>
        <v>133128.0147185672</v>
      </c>
      <c r="I32" s="23">
        <f t="shared" si="9"/>
        <v>134302.62951467893</v>
      </c>
      <c r="J32" s="23">
        <f t="shared" si="9"/>
        <v>135500.76680021125</v>
      </c>
      <c r="K32" s="23">
        <f t="shared" si="9"/>
        <v>136722.89944043243</v>
      </c>
      <c r="L32" s="23">
        <f t="shared" si="9"/>
        <v>137969.50995115456</v>
      </c>
      <c r="M32" s="23">
        <f t="shared" si="9"/>
        <v>139241.09070720329</v>
      </c>
      <c r="N32" s="23">
        <f t="shared" si="9"/>
        <v>140538.14415629421</v>
      </c>
      <c r="O32" s="23">
        <f t="shared" si="9"/>
        <v>141861.18303852179</v>
      </c>
      <c r="P32" s="23">
        <f t="shared" si="9"/>
        <v>143210.73061168121</v>
      </c>
      <c r="Q32" s="23">
        <f t="shared" si="9"/>
        <v>144958.96317009238</v>
      </c>
      <c r="R32" s="23">
        <f t="shared" si="9"/>
        <v>146362.13518349422</v>
      </c>
      <c r="S32" s="23">
        <f t="shared" si="9"/>
        <v>147793.37063716413</v>
      </c>
      <c r="T32" s="23">
        <f t="shared" si="9"/>
        <v>149253.23079990738</v>
      </c>
      <c r="U32" s="23">
        <f t="shared" si="9"/>
        <v>150742.28816590554</v>
      </c>
      <c r="V32" s="23">
        <f t="shared" si="9"/>
        <v>152261.12667922367</v>
      </c>
      <c r="W32" s="23">
        <f t="shared" si="9"/>
        <v>153810.3419628081</v>
      </c>
      <c r="X32" s="23">
        <f t="shared" si="9"/>
        <v>155390.54155206433</v>
      </c>
      <c r="Y32" s="23">
        <f t="shared" si="9"/>
        <v>157002.34513310558</v>
      </c>
      <c r="Z32" s="23">
        <f t="shared" si="9"/>
        <v>158646.3847857677</v>
      </c>
      <c r="AA32" s="23">
        <f t="shared" si="9"/>
        <v>0</v>
      </c>
      <c r="AB32" s="23">
        <f t="shared" si="9"/>
        <v>0</v>
      </c>
      <c r="AC32" s="23">
        <f t="shared" si="9"/>
        <v>0</v>
      </c>
      <c r="AD32" s="23">
        <f t="shared" si="9"/>
        <v>0</v>
      </c>
      <c r="AE32" s="23">
        <f t="shared" si="9"/>
        <v>0</v>
      </c>
      <c r="AF32" s="23">
        <f t="shared" si="9"/>
        <v>0</v>
      </c>
      <c r="AG32" s="23">
        <f t="shared" si="9"/>
        <v>0</v>
      </c>
      <c r="AH32" s="23">
        <f t="shared" si="9"/>
        <v>0</v>
      </c>
      <c r="AI32" s="23">
        <f t="shared" si="9"/>
        <v>0</v>
      </c>
      <c r="AJ32" s="23">
        <f t="shared" si="9"/>
        <v>0</v>
      </c>
    </row>
    <row r="33" spans="2:36" s="1" customFormat="1" ht="15.75" x14ac:dyDescent="0.25">
      <c r="B33" s="18"/>
      <c r="C33" s="18"/>
      <c r="G33" s="21"/>
    </row>
    <row r="34" spans="2:36" s="1" customFormat="1" ht="15.75" x14ac:dyDescent="0.25">
      <c r="B34" s="12" t="s">
        <v>42</v>
      </c>
      <c r="C34" s="12"/>
      <c r="D34" s="12"/>
      <c r="F34" s="51"/>
      <c r="G34" s="21"/>
    </row>
    <row r="35" spans="2:36" s="1" customFormat="1" x14ac:dyDescent="0.2">
      <c r="B35" s="1" t="s">
        <v>145</v>
      </c>
      <c r="F35" s="21">
        <f>-('Financial Inputs'!$G$37-'Financial Inputs'!$G$35-$F$100)</f>
        <v>-7925</v>
      </c>
      <c r="G35" s="21">
        <v>0</v>
      </c>
      <c r="H35" s="21">
        <v>0</v>
      </c>
      <c r="I35" s="21">
        <v>0</v>
      </c>
      <c r="J35" s="21">
        <v>0</v>
      </c>
      <c r="K35" s="21">
        <v>0</v>
      </c>
      <c r="L35" s="21">
        <v>0</v>
      </c>
      <c r="M35" s="21">
        <v>0</v>
      </c>
      <c r="N35" s="21">
        <v>0</v>
      </c>
      <c r="O35" s="21">
        <v>0</v>
      </c>
      <c r="P35" s="21">
        <v>0</v>
      </c>
      <c r="Q35" s="21">
        <v>0</v>
      </c>
      <c r="R35" s="21">
        <v>0</v>
      </c>
      <c r="S35" s="21">
        <v>0</v>
      </c>
      <c r="T35" s="21">
        <v>0</v>
      </c>
      <c r="U35" s="21">
        <v>0</v>
      </c>
      <c r="V35" s="21">
        <v>0</v>
      </c>
      <c r="W35" s="21">
        <v>0</v>
      </c>
      <c r="X35" s="21">
        <v>0</v>
      </c>
      <c r="Y35" s="21">
        <v>0</v>
      </c>
      <c r="Z35" s="21">
        <v>0</v>
      </c>
      <c r="AA35" s="21">
        <v>0</v>
      </c>
      <c r="AB35" s="21">
        <v>0</v>
      </c>
      <c r="AC35" s="21">
        <v>0</v>
      </c>
      <c r="AD35" s="21">
        <v>0</v>
      </c>
      <c r="AE35" s="21">
        <v>0</v>
      </c>
      <c r="AF35" s="21">
        <v>0</v>
      </c>
      <c r="AG35" s="21">
        <v>0</v>
      </c>
      <c r="AH35" s="21">
        <v>0</v>
      </c>
      <c r="AI35" s="21">
        <v>0</v>
      </c>
      <c r="AJ35" s="21">
        <v>0</v>
      </c>
    </row>
    <row r="36" spans="2:36" s="1" customFormat="1" x14ac:dyDescent="0.2">
      <c r="B36" s="20" t="s">
        <v>41</v>
      </c>
      <c r="C36" s="20"/>
      <c r="D36" s="20"/>
      <c r="E36" s="20"/>
      <c r="F36" s="20"/>
      <c r="G36" s="22">
        <f>G32</f>
        <v>131976.45899389187</v>
      </c>
      <c r="H36" s="22">
        <f t="shared" ref="H36:AJ36" si="10">H32</f>
        <v>133128.0147185672</v>
      </c>
      <c r="I36" s="22">
        <f t="shared" si="10"/>
        <v>134302.62951467893</v>
      </c>
      <c r="J36" s="22">
        <f t="shared" si="10"/>
        <v>135500.76680021125</v>
      </c>
      <c r="K36" s="22">
        <f t="shared" si="10"/>
        <v>136722.89944043243</v>
      </c>
      <c r="L36" s="22">
        <f t="shared" si="10"/>
        <v>137969.50995115456</v>
      </c>
      <c r="M36" s="22">
        <f t="shared" si="10"/>
        <v>139241.09070720329</v>
      </c>
      <c r="N36" s="22">
        <f t="shared" si="10"/>
        <v>140538.14415629421</v>
      </c>
      <c r="O36" s="22">
        <f t="shared" si="10"/>
        <v>141861.18303852179</v>
      </c>
      <c r="P36" s="22">
        <f t="shared" si="10"/>
        <v>143210.73061168121</v>
      </c>
      <c r="Q36" s="22">
        <f t="shared" si="10"/>
        <v>144958.96317009238</v>
      </c>
      <c r="R36" s="22">
        <f t="shared" si="10"/>
        <v>146362.13518349422</v>
      </c>
      <c r="S36" s="22">
        <f t="shared" si="10"/>
        <v>147793.37063716413</v>
      </c>
      <c r="T36" s="22">
        <f t="shared" si="10"/>
        <v>149253.23079990738</v>
      </c>
      <c r="U36" s="22">
        <f t="shared" si="10"/>
        <v>150742.28816590554</v>
      </c>
      <c r="V36" s="22">
        <f t="shared" si="10"/>
        <v>152261.12667922367</v>
      </c>
      <c r="W36" s="22">
        <f t="shared" si="10"/>
        <v>153810.3419628081</v>
      </c>
      <c r="X36" s="22">
        <f t="shared" si="10"/>
        <v>155390.54155206433</v>
      </c>
      <c r="Y36" s="22">
        <f t="shared" si="10"/>
        <v>157002.34513310558</v>
      </c>
      <c r="Z36" s="22">
        <f t="shared" si="10"/>
        <v>158646.3847857677</v>
      </c>
      <c r="AA36" s="22">
        <f t="shared" si="10"/>
        <v>0</v>
      </c>
      <c r="AB36" s="22">
        <f t="shared" si="10"/>
        <v>0</v>
      </c>
      <c r="AC36" s="22">
        <f t="shared" si="10"/>
        <v>0</v>
      </c>
      <c r="AD36" s="22">
        <f t="shared" si="10"/>
        <v>0</v>
      </c>
      <c r="AE36" s="22">
        <f t="shared" si="10"/>
        <v>0</v>
      </c>
      <c r="AF36" s="22">
        <f t="shared" si="10"/>
        <v>0</v>
      </c>
      <c r="AG36" s="22">
        <f t="shared" si="10"/>
        <v>0</v>
      </c>
      <c r="AH36" s="22">
        <f t="shared" si="10"/>
        <v>0</v>
      </c>
      <c r="AI36" s="22">
        <f t="shared" si="10"/>
        <v>0</v>
      </c>
      <c r="AJ36" s="22">
        <f t="shared" si="10"/>
        <v>0</v>
      </c>
    </row>
    <row r="37" spans="2:36" s="1" customFormat="1" ht="15.75" x14ac:dyDescent="0.25">
      <c r="B37" s="26" t="s">
        <v>73</v>
      </c>
      <c r="C37" s="26"/>
      <c r="D37" s="26"/>
      <c r="E37" s="238"/>
      <c r="F37" s="21">
        <f t="shared" ref="F37:AJ37" si="11">SUM(F35:F36)</f>
        <v>-7925</v>
      </c>
      <c r="G37" s="21">
        <f t="shared" si="11"/>
        <v>131976.45899389187</v>
      </c>
      <c r="H37" s="21">
        <f t="shared" si="11"/>
        <v>133128.0147185672</v>
      </c>
      <c r="I37" s="21">
        <f t="shared" si="11"/>
        <v>134302.62951467893</v>
      </c>
      <c r="J37" s="21">
        <f t="shared" si="11"/>
        <v>135500.76680021125</v>
      </c>
      <c r="K37" s="21">
        <f t="shared" si="11"/>
        <v>136722.89944043243</v>
      </c>
      <c r="L37" s="21">
        <f t="shared" si="11"/>
        <v>137969.50995115456</v>
      </c>
      <c r="M37" s="21">
        <f t="shared" si="11"/>
        <v>139241.09070720329</v>
      </c>
      <c r="N37" s="21">
        <f t="shared" si="11"/>
        <v>140538.14415629421</v>
      </c>
      <c r="O37" s="21">
        <f t="shared" si="11"/>
        <v>141861.18303852179</v>
      </c>
      <c r="P37" s="21">
        <f t="shared" si="11"/>
        <v>143210.73061168121</v>
      </c>
      <c r="Q37" s="21">
        <f t="shared" si="11"/>
        <v>144958.96317009238</v>
      </c>
      <c r="R37" s="21">
        <f t="shared" si="11"/>
        <v>146362.13518349422</v>
      </c>
      <c r="S37" s="21">
        <f t="shared" si="11"/>
        <v>147793.37063716413</v>
      </c>
      <c r="T37" s="21">
        <f t="shared" si="11"/>
        <v>149253.23079990738</v>
      </c>
      <c r="U37" s="21">
        <f t="shared" si="11"/>
        <v>150742.28816590554</v>
      </c>
      <c r="V37" s="21">
        <f t="shared" si="11"/>
        <v>152261.12667922367</v>
      </c>
      <c r="W37" s="21">
        <f t="shared" si="11"/>
        <v>153810.3419628081</v>
      </c>
      <c r="X37" s="21">
        <f t="shared" si="11"/>
        <v>155390.54155206433</v>
      </c>
      <c r="Y37" s="21">
        <f t="shared" si="11"/>
        <v>157002.34513310558</v>
      </c>
      <c r="Z37" s="21">
        <f t="shared" si="11"/>
        <v>158646.3847857677</v>
      </c>
      <c r="AA37" s="21">
        <f t="shared" si="11"/>
        <v>0</v>
      </c>
      <c r="AB37" s="21">
        <f t="shared" si="11"/>
        <v>0</v>
      </c>
      <c r="AC37" s="21">
        <f t="shared" si="11"/>
        <v>0</v>
      </c>
      <c r="AD37" s="21">
        <f t="shared" si="11"/>
        <v>0</v>
      </c>
      <c r="AE37" s="21">
        <f t="shared" si="11"/>
        <v>0</v>
      </c>
      <c r="AF37" s="21">
        <f t="shared" si="11"/>
        <v>0</v>
      </c>
      <c r="AG37" s="21">
        <f t="shared" si="11"/>
        <v>0</v>
      </c>
      <c r="AH37" s="21">
        <f t="shared" si="11"/>
        <v>0</v>
      </c>
      <c r="AI37" s="21">
        <f t="shared" si="11"/>
        <v>0</v>
      </c>
      <c r="AJ37" s="21">
        <f t="shared" si="11"/>
        <v>0</v>
      </c>
    </row>
    <row r="38" spans="2:36" s="1" customFormat="1" x14ac:dyDescent="0.2">
      <c r="B38" s="27" t="s">
        <v>43</v>
      </c>
      <c r="C38" s="27"/>
      <c r="D38" s="27"/>
      <c r="E38" s="21"/>
      <c r="F38" s="49"/>
      <c r="G38" s="377">
        <f>IF(ISERROR(IRR($F37:G37)),"NA",IRR($F37:G37))</f>
        <v>15.653180945601502</v>
      </c>
      <c r="H38" s="377">
        <f>IF(ISERROR(IRR($F37:H37)),"NA",IRR($F37:H37))</f>
        <v>16.607247591775053</v>
      </c>
      <c r="I38" s="377">
        <f>IF(ISERROR(IRR($F37:I37)),"NA",IRR($F37:I37))</f>
        <v>16.658807298931688</v>
      </c>
      <c r="J38" s="377">
        <f>IF(ISERROR(IRR($F37:J37)),"NA",IRR($F37:J37))</f>
        <v>16.66173502567576</v>
      </c>
      <c r="K38" s="377">
        <f>IF(ISERROR(IRR($F37:K37)),"NA",IRR($F37:K37))</f>
        <v>16.661902199583874</v>
      </c>
      <c r="L38" s="377">
        <f>IF(ISERROR(IRR($F37:L37)),"NA",IRR($F37:L37))</f>
        <v>16.661911750868299</v>
      </c>
      <c r="M38" s="377">
        <f>IF(ISERROR(IRR($F37:M37)),"NA",IRR($F37:M37))</f>
        <v>16.661912296627428</v>
      </c>
      <c r="N38" s="377">
        <f>IF(ISERROR(IRR($F37:N37)),"NA",IRR($F37:N37))</f>
        <v>16.661912327807787</v>
      </c>
      <c r="O38" s="377">
        <f>IF(ISERROR(IRR($F37:O37)),"NA",IRR($F37:O37))</f>
        <v>16.661912329484181</v>
      </c>
      <c r="P38" s="377">
        <f>IF(ISERROR(IRR($F37:P37)),"NA",IRR($F37:P37))</f>
        <v>16.661912329700218</v>
      </c>
      <c r="Q38" s="377">
        <f>IF(ISERROR(IRR($F37:Q37)),"NA",IRR($F37:Q37))</f>
        <v>16.661912329706038</v>
      </c>
      <c r="R38" s="377">
        <f>IF(ISERROR(IRR($F37:R37)),"NA",IRR($F37:R37))</f>
        <v>16.661912329706382</v>
      </c>
      <c r="S38" s="377">
        <f>IF(ISERROR(IRR($F37:S37)),"NA",IRR($F37:S37))</f>
        <v>16.661912329706315</v>
      </c>
      <c r="T38" s="377">
        <f>IF(ISERROR(IRR($F37:T37)),"NA",IRR($F37:T37))</f>
        <v>16.661912329706038</v>
      </c>
      <c r="U38" s="377">
        <f>IF(ISERROR(IRR($F37:U37)),"NA",IRR($F37:U37))</f>
        <v>16.661912329704965</v>
      </c>
      <c r="V38" s="377">
        <f>IF(ISERROR(IRR($F37:V37)),"NA",IRR($F37:V37))</f>
        <v>16.661912329701675</v>
      </c>
      <c r="W38" s="377">
        <f>IF(ISERROR(IRR($F37:W37)),"NA",IRR($F37:W37))</f>
        <v>16.661912329693084</v>
      </c>
      <c r="X38" s="377">
        <f>IF(ISERROR(IRR($F37:X37)),"NA",IRR($F37:X37))</f>
        <v>16.661912329673346</v>
      </c>
      <c r="Y38" s="377">
        <f>IF(ISERROR(IRR($F37:Y37)),"NA",IRR($F37:Y37))</f>
        <v>16.66191232963272</v>
      </c>
      <c r="Z38" s="377">
        <f>IF(ISERROR(IRR($F37:Z37)),"NA",IRR($F37:Z37))</f>
        <v>16.661912329556426</v>
      </c>
      <c r="AA38" s="377">
        <f>IF(ISERROR(IRR($F37:AA37)),"NA",IRR($F37:AA37))</f>
        <v>16.661912329556426</v>
      </c>
      <c r="AB38" s="377">
        <f>IF(ISERROR(IRR($F37:AB37)),"NA",IRR($F37:AB37))</f>
        <v>16.661912329556426</v>
      </c>
      <c r="AC38" s="377">
        <f>IF(ISERROR(IRR($F37:AC37)),"NA",IRR($F37:AC37))</f>
        <v>16.661912329556426</v>
      </c>
      <c r="AD38" s="377">
        <f>IF(ISERROR(IRR($F37:AD37)),"NA",IRR($F37:AD37))</f>
        <v>16.661912329556426</v>
      </c>
      <c r="AE38" s="377">
        <f>IF(ISERROR(IRR($F37:AE37)),"NA",IRR($F37:AE37))</f>
        <v>16.661912329556426</v>
      </c>
      <c r="AF38" s="377">
        <f>IF(ISERROR(IRR($F37:AF37)),"NA",IRR($F37:AF37))</f>
        <v>16.661912329556426</v>
      </c>
      <c r="AG38" s="377">
        <f>IF(ISERROR(IRR($F37:AG37)),"NA",IRR($F37:AG37))</f>
        <v>16.661912329556426</v>
      </c>
      <c r="AH38" s="377">
        <f>IF(ISERROR(IRR($F37:AH37)),"NA",IRR($F37:AH37))</f>
        <v>16.661912329556426</v>
      </c>
      <c r="AI38" s="377">
        <f>IF(ISERROR(IRR($F37:AI37)),"NA",IRR($F37:AI37))</f>
        <v>16.661912329556426</v>
      </c>
      <c r="AJ38" s="377">
        <f>IF(ISERROR(IRR($F37:AJ37)),"NA",IRR($F37:AJ37))</f>
        <v>16.661912329556426</v>
      </c>
    </row>
    <row r="39" spans="2:36" s="1" customFormat="1" x14ac:dyDescent="0.2">
      <c r="B39" s="27"/>
      <c r="C39" s="27"/>
      <c r="D39" s="27"/>
      <c r="E39" s="21"/>
      <c r="F39" s="49"/>
      <c r="G39" s="28"/>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8"/>
    </row>
    <row r="40" spans="2:36" s="1" customFormat="1" x14ac:dyDescent="0.2">
      <c r="B40" s="230" t="s">
        <v>91</v>
      </c>
      <c r="C40" s="230"/>
      <c r="D40" s="230"/>
      <c r="E40" s="20"/>
      <c r="F40" s="217"/>
      <c r="G40" s="22">
        <f t="shared" ref="G40:AJ40" si="12">-G132</f>
        <v>-1959.9</v>
      </c>
      <c r="H40" s="22">
        <f t="shared" si="12"/>
        <v>-3135.84</v>
      </c>
      <c r="I40" s="22">
        <f t="shared" si="12"/>
        <v>-1881.5040000000001</v>
      </c>
      <c r="J40" s="22">
        <f t="shared" si="12"/>
        <v>-1128.9023999999999</v>
      </c>
      <c r="K40" s="22">
        <f t="shared" si="12"/>
        <v>-1128.9023999999999</v>
      </c>
      <c r="L40" s="22">
        <f t="shared" si="12"/>
        <v>-564.45119999999997</v>
      </c>
      <c r="M40" s="22">
        <f t="shared" si="12"/>
        <v>0</v>
      </c>
      <c r="N40" s="22">
        <f t="shared" si="12"/>
        <v>0</v>
      </c>
      <c r="O40" s="22">
        <f t="shared" si="12"/>
        <v>0</v>
      </c>
      <c r="P40" s="22">
        <f t="shared" si="12"/>
        <v>0</v>
      </c>
      <c r="Q40" s="22">
        <f t="shared" si="12"/>
        <v>0</v>
      </c>
      <c r="R40" s="22">
        <f t="shared" si="12"/>
        <v>0</v>
      </c>
      <c r="S40" s="22">
        <f t="shared" si="12"/>
        <v>0</v>
      </c>
      <c r="T40" s="22">
        <f t="shared" si="12"/>
        <v>0</v>
      </c>
      <c r="U40" s="22">
        <f t="shared" si="12"/>
        <v>0</v>
      </c>
      <c r="V40" s="22">
        <f t="shared" si="12"/>
        <v>0</v>
      </c>
      <c r="W40" s="22">
        <f t="shared" si="12"/>
        <v>0</v>
      </c>
      <c r="X40" s="22">
        <f t="shared" si="12"/>
        <v>0</v>
      </c>
      <c r="Y40" s="22">
        <f t="shared" si="12"/>
        <v>0</v>
      </c>
      <c r="Z40" s="22">
        <f t="shared" si="12"/>
        <v>-10000</v>
      </c>
      <c r="AA40" s="22">
        <f t="shared" si="12"/>
        <v>0</v>
      </c>
      <c r="AB40" s="22">
        <f t="shared" si="12"/>
        <v>0</v>
      </c>
      <c r="AC40" s="22">
        <f t="shared" si="12"/>
        <v>0</v>
      </c>
      <c r="AD40" s="22">
        <f t="shared" si="12"/>
        <v>0</v>
      </c>
      <c r="AE40" s="22">
        <f t="shared" si="12"/>
        <v>0</v>
      </c>
      <c r="AF40" s="22">
        <f t="shared" si="12"/>
        <v>0</v>
      </c>
      <c r="AG40" s="22">
        <f t="shared" si="12"/>
        <v>0</v>
      </c>
      <c r="AH40" s="22">
        <f t="shared" si="12"/>
        <v>0</v>
      </c>
      <c r="AI40" s="22">
        <f t="shared" si="12"/>
        <v>0</v>
      </c>
      <c r="AJ40" s="22">
        <f t="shared" si="12"/>
        <v>0</v>
      </c>
    </row>
    <row r="41" spans="2:36" s="1" customFormat="1" ht="15.75" x14ac:dyDescent="0.25">
      <c r="B41" s="18" t="s">
        <v>154</v>
      </c>
      <c r="C41" s="18"/>
      <c r="D41" s="18"/>
      <c r="F41" s="50"/>
      <c r="G41" s="21">
        <f>IF('Financial Inputs'!$P$11="No",0,(G$29+G$40))</f>
        <v>130189.13271563457</v>
      </c>
      <c r="H41" s="21">
        <f>IF('Financial Inputs'!$P$11="No",0,(H$29+H$40))</f>
        <v>130178.55433804929</v>
      </c>
      <c r="I41" s="21">
        <f>IF('Financial Inputs'!$P$11="No",0,(I$29+I$40))</f>
        <v>132622.41550371962</v>
      </c>
      <c r="J41" s="21">
        <f>IF('Financial Inputs'!$P$11="No",0,(J$29+J$40))</f>
        <v>134589.25758837519</v>
      </c>
      <c r="K41" s="21">
        <f>IF('Financial Inputs'!$P$11="No",0,(K$29+K$40))</f>
        <v>135828.78168364949</v>
      </c>
      <c r="L41" s="21">
        <f>IF('Financial Inputs'!$P$11="No",0,(L$29+L$40))</f>
        <v>137658.62616582896</v>
      </c>
      <c r="M41" s="21">
        <f>IF('Financial Inputs'!$P$11="No",0,(M$29+M$40))</f>
        <v>139514.94351505165</v>
      </c>
      <c r="N41" s="21">
        <f>IF('Financial Inputs'!$P$11="No",0,(N$29+N$40))</f>
        <v>140833.90518877044</v>
      </c>
      <c r="O41" s="21">
        <f>IF('Financial Inputs'!$P$11="No",0,(O$29+O$40))</f>
        <v>142180.60495359611</v>
      </c>
      <c r="P41" s="21">
        <f>IF('Financial Inputs'!$P$11="No",0,(P$29+P$40))</f>
        <v>143555.70627996148</v>
      </c>
      <c r="Q41" s="21">
        <f>IF('Financial Inputs'!$P$11="No",0,(Q$29+Q$40))</f>
        <v>144958.96317009238</v>
      </c>
      <c r="R41" s="21">
        <f>IF('Financial Inputs'!$P$11="No",0,(R$29+R$40))</f>
        <v>146362.13518349422</v>
      </c>
      <c r="S41" s="21">
        <f>IF('Financial Inputs'!$P$11="No",0,(S$29+S$40))</f>
        <v>147793.37063716413</v>
      </c>
      <c r="T41" s="21">
        <f>IF('Financial Inputs'!$P$11="No",0,(T$29+T$40))</f>
        <v>149253.23079990738</v>
      </c>
      <c r="U41" s="21">
        <f>IF('Financial Inputs'!$P$11="No",0,(U$29+U$40))</f>
        <v>150742.28816590554</v>
      </c>
      <c r="V41" s="21">
        <f>IF('Financial Inputs'!$P$11="No",0,(V$29+V$40))</f>
        <v>152261.12667922367</v>
      </c>
      <c r="W41" s="21">
        <f>IF('Financial Inputs'!$P$11="No",0,(W$29+W$40))</f>
        <v>153810.3419628081</v>
      </c>
      <c r="X41" s="21">
        <f>IF('Financial Inputs'!$P$11="No",0,(X$29+X$40))</f>
        <v>155390.54155206433</v>
      </c>
      <c r="Y41" s="21">
        <f>IF('Financial Inputs'!$P$11="No",0,(Y$29+Y$40))</f>
        <v>157002.34513310558</v>
      </c>
      <c r="Z41" s="21">
        <f>IF('Financial Inputs'!$P$11="No",0,(Z$29+Z$40))</f>
        <v>148646.3847857677</v>
      </c>
      <c r="AA41" s="21">
        <f>IF('Financial Inputs'!$P$11="No",0,(AA$29+AA$40))</f>
        <v>0</v>
      </c>
      <c r="AB41" s="21">
        <f>IF('Financial Inputs'!$P$11="No",0,(AB$29+AB$40))</f>
        <v>0</v>
      </c>
      <c r="AC41" s="21">
        <f>IF('Financial Inputs'!$P$11="No",0,(AC$29+AC$40))</f>
        <v>0</v>
      </c>
      <c r="AD41" s="21">
        <f>IF('Financial Inputs'!$P$11="No",0,(AD$29+AD$40))</f>
        <v>0</v>
      </c>
      <c r="AE41" s="21">
        <f>IF('Financial Inputs'!$P$11="No",0,(AE$29+AE$40))</f>
        <v>0</v>
      </c>
      <c r="AF41" s="21">
        <f>IF('Financial Inputs'!$P$11="No",0,(AF$29+AF$40))</f>
        <v>0</v>
      </c>
      <c r="AG41" s="21">
        <f>IF('Financial Inputs'!$P$11="No",0,(AG$29+AG$40))</f>
        <v>0</v>
      </c>
      <c r="AH41" s="21">
        <f>IF('Financial Inputs'!$P$11="No",0,(AH$29+AH$40))</f>
        <v>0</v>
      </c>
      <c r="AI41" s="21">
        <f>IF('Financial Inputs'!$P$11="No",0,(AI$29+AI$40))</f>
        <v>0</v>
      </c>
      <c r="AJ41" s="21">
        <f>IF('Financial Inputs'!$P$11="No",0,(AJ$29+AJ$40))</f>
        <v>0</v>
      </c>
    </row>
    <row r="42" spans="2:36" s="1" customFormat="1" ht="15.75" x14ac:dyDescent="0.25">
      <c r="B42" s="26"/>
      <c r="C42" s="26"/>
      <c r="D42" s="26"/>
      <c r="F42" s="50"/>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row>
    <row r="43" spans="2:36" s="1" customFormat="1" ht="15.75" x14ac:dyDescent="0.25">
      <c r="B43" s="18" t="s">
        <v>155</v>
      </c>
      <c r="C43" s="18"/>
      <c r="D43" s="18"/>
      <c r="F43" s="218" t="str">
        <f>'Financial Inputs'!P13</f>
        <v>As Generated</v>
      </c>
      <c r="G43" s="21">
        <f t="shared" ref="G43:AJ43" si="13">IF($F$43="as generated",G$41,G$147)</f>
        <v>130189.13271563457</v>
      </c>
      <c r="H43" s="21">
        <f t="shared" si="13"/>
        <v>130178.55433804929</v>
      </c>
      <c r="I43" s="21">
        <f t="shared" si="13"/>
        <v>132622.41550371962</v>
      </c>
      <c r="J43" s="21">
        <f t="shared" si="13"/>
        <v>134589.25758837519</v>
      </c>
      <c r="K43" s="21">
        <f t="shared" si="13"/>
        <v>135828.78168364949</v>
      </c>
      <c r="L43" s="21">
        <f t="shared" si="13"/>
        <v>137658.62616582896</v>
      </c>
      <c r="M43" s="21">
        <f t="shared" si="13"/>
        <v>139514.94351505165</v>
      </c>
      <c r="N43" s="21">
        <f t="shared" si="13"/>
        <v>140833.90518877044</v>
      </c>
      <c r="O43" s="21">
        <f t="shared" si="13"/>
        <v>142180.60495359611</v>
      </c>
      <c r="P43" s="21">
        <f t="shared" si="13"/>
        <v>143555.70627996148</v>
      </c>
      <c r="Q43" s="21">
        <f t="shared" si="13"/>
        <v>144958.96317009238</v>
      </c>
      <c r="R43" s="21">
        <f t="shared" si="13"/>
        <v>146362.13518349422</v>
      </c>
      <c r="S43" s="21">
        <f t="shared" si="13"/>
        <v>147793.37063716413</v>
      </c>
      <c r="T43" s="21">
        <f t="shared" si="13"/>
        <v>149253.23079990738</v>
      </c>
      <c r="U43" s="21">
        <f t="shared" si="13"/>
        <v>150742.28816590554</v>
      </c>
      <c r="V43" s="21">
        <f t="shared" si="13"/>
        <v>152261.12667922367</v>
      </c>
      <c r="W43" s="21">
        <f t="shared" si="13"/>
        <v>153810.3419628081</v>
      </c>
      <c r="X43" s="21">
        <f t="shared" si="13"/>
        <v>155390.54155206433</v>
      </c>
      <c r="Y43" s="21">
        <f t="shared" si="13"/>
        <v>157002.34513310558</v>
      </c>
      <c r="Z43" s="21">
        <f t="shared" si="13"/>
        <v>148646.3847857677</v>
      </c>
      <c r="AA43" s="21">
        <f t="shared" si="13"/>
        <v>0</v>
      </c>
      <c r="AB43" s="21">
        <f t="shared" si="13"/>
        <v>0</v>
      </c>
      <c r="AC43" s="21">
        <f t="shared" si="13"/>
        <v>0</v>
      </c>
      <c r="AD43" s="21">
        <f t="shared" si="13"/>
        <v>0</v>
      </c>
      <c r="AE43" s="21">
        <f t="shared" si="13"/>
        <v>0</v>
      </c>
      <c r="AF43" s="21">
        <f t="shared" si="13"/>
        <v>0</v>
      </c>
      <c r="AG43" s="21">
        <f t="shared" si="13"/>
        <v>0</v>
      </c>
      <c r="AH43" s="21">
        <f t="shared" si="13"/>
        <v>0</v>
      </c>
      <c r="AI43" s="21">
        <f t="shared" si="13"/>
        <v>0</v>
      </c>
      <c r="AJ43" s="21">
        <f t="shared" si="13"/>
        <v>0</v>
      </c>
    </row>
    <row r="44" spans="2:36" s="1" customFormat="1" ht="15.75" x14ac:dyDescent="0.25">
      <c r="B44" s="18" t="s">
        <v>156</v>
      </c>
      <c r="C44" s="18"/>
      <c r="D44" s="18"/>
      <c r="F44" s="218" t="str">
        <f>'Financial Inputs'!P15</f>
        <v>As Generated</v>
      </c>
      <c r="G44" s="21">
        <f t="shared" ref="G44:AJ44" si="14">IF($F$44="as generated",G$41,G$155)</f>
        <v>130189.13271563457</v>
      </c>
      <c r="H44" s="21">
        <f t="shared" si="14"/>
        <v>130178.55433804929</v>
      </c>
      <c r="I44" s="21">
        <f t="shared" si="14"/>
        <v>132622.41550371962</v>
      </c>
      <c r="J44" s="21">
        <f t="shared" si="14"/>
        <v>134589.25758837519</v>
      </c>
      <c r="K44" s="21">
        <f t="shared" si="14"/>
        <v>135828.78168364949</v>
      </c>
      <c r="L44" s="21">
        <f t="shared" si="14"/>
        <v>137658.62616582896</v>
      </c>
      <c r="M44" s="21">
        <f t="shared" si="14"/>
        <v>139514.94351505165</v>
      </c>
      <c r="N44" s="21">
        <f t="shared" si="14"/>
        <v>140833.90518877044</v>
      </c>
      <c r="O44" s="21">
        <f t="shared" si="14"/>
        <v>142180.60495359611</v>
      </c>
      <c r="P44" s="21">
        <f t="shared" si="14"/>
        <v>143555.70627996148</v>
      </c>
      <c r="Q44" s="21">
        <f t="shared" si="14"/>
        <v>144958.96317009238</v>
      </c>
      <c r="R44" s="21">
        <f t="shared" si="14"/>
        <v>146362.13518349422</v>
      </c>
      <c r="S44" s="21">
        <f t="shared" si="14"/>
        <v>147793.37063716413</v>
      </c>
      <c r="T44" s="21">
        <f t="shared" si="14"/>
        <v>149253.23079990738</v>
      </c>
      <c r="U44" s="21">
        <f t="shared" si="14"/>
        <v>150742.28816590554</v>
      </c>
      <c r="V44" s="21">
        <f t="shared" si="14"/>
        <v>152261.12667922367</v>
      </c>
      <c r="W44" s="21">
        <f t="shared" si="14"/>
        <v>153810.3419628081</v>
      </c>
      <c r="X44" s="21">
        <f t="shared" si="14"/>
        <v>155390.54155206433</v>
      </c>
      <c r="Y44" s="21">
        <f t="shared" si="14"/>
        <v>157002.34513310558</v>
      </c>
      <c r="Z44" s="21">
        <f t="shared" si="14"/>
        <v>148646.3847857677</v>
      </c>
      <c r="AA44" s="21">
        <f t="shared" si="14"/>
        <v>0</v>
      </c>
      <c r="AB44" s="21">
        <f t="shared" si="14"/>
        <v>0</v>
      </c>
      <c r="AC44" s="21">
        <f t="shared" si="14"/>
        <v>0</v>
      </c>
      <c r="AD44" s="21">
        <f t="shared" si="14"/>
        <v>0</v>
      </c>
      <c r="AE44" s="21">
        <f t="shared" si="14"/>
        <v>0</v>
      </c>
      <c r="AF44" s="21">
        <f t="shared" si="14"/>
        <v>0</v>
      </c>
      <c r="AG44" s="21">
        <f t="shared" si="14"/>
        <v>0</v>
      </c>
      <c r="AH44" s="21">
        <f t="shared" si="14"/>
        <v>0</v>
      </c>
      <c r="AI44" s="21">
        <f t="shared" si="14"/>
        <v>0</v>
      </c>
      <c r="AJ44" s="21">
        <f t="shared" si="14"/>
        <v>0</v>
      </c>
    </row>
    <row r="45" spans="2:36" s="1" customFormat="1" x14ac:dyDescent="0.2">
      <c r="B45" s="216"/>
      <c r="C45" s="216"/>
      <c r="D45" s="216"/>
      <c r="F45" s="50"/>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row>
    <row r="46" spans="2:36" s="1" customFormat="1" x14ac:dyDescent="0.2">
      <c r="B46" s="1" t="s">
        <v>84</v>
      </c>
      <c r="E46" s="212"/>
      <c r="G46" s="21">
        <f>IF('Financial Inputs'!$P$11="No",0,-(G$43+G$47)*'Financial Inputs'!$P$77)</f>
        <v>-42376.562698939044</v>
      </c>
      <c r="H46" s="21">
        <f>IF('Financial Inputs'!$P$11="No",0,-(H$43+H$47)*'Financial Inputs'!$P$77)</f>
        <v>-42373.119437035042</v>
      </c>
      <c r="I46" s="21">
        <f>IF('Financial Inputs'!$P$11="No",0,-(I$43+I$47)*'Financial Inputs'!$P$77)</f>
        <v>-43168.596246460736</v>
      </c>
      <c r="J46" s="21">
        <f>IF('Financial Inputs'!$P$11="No",0,-(J$43+J$47)*'Financial Inputs'!$P$77)</f>
        <v>-43808.803345016124</v>
      </c>
      <c r="K46" s="21">
        <f>IF('Financial Inputs'!$P$11="No",0,-(K$43+K$47)*'Financial Inputs'!$P$77)</f>
        <v>-44212.26843802791</v>
      </c>
      <c r="L46" s="21">
        <f>IF('Financial Inputs'!$P$11="No",0,-(L$43+L$47)*'Financial Inputs'!$P$77)</f>
        <v>-44807.882816977326</v>
      </c>
      <c r="M46" s="21">
        <f>IF('Financial Inputs'!$P$11="No",0,-(M$43+M$47)*'Financial Inputs'!$P$77)</f>
        <v>-45412.114114149314</v>
      </c>
      <c r="N46" s="21">
        <f>IF('Financial Inputs'!$P$11="No",0,-(N$43+N$47)*'Financial Inputs'!$P$77)</f>
        <v>-45841.436138944773</v>
      </c>
      <c r="O46" s="21">
        <f>IF('Financial Inputs'!$P$11="No",0,-(O$43+O$47)*'Financial Inputs'!$P$77)</f>
        <v>-46279.786912395532</v>
      </c>
      <c r="P46" s="21">
        <f>IF('Financial Inputs'!$P$11="No",0,-(P$43+P$47)*'Financial Inputs'!$P$77)</f>
        <v>-46727.38239412746</v>
      </c>
      <c r="Q46" s="21">
        <f>IF('Financial Inputs'!$P$11="No",0,-(Q$43+Q$47)*'Financial Inputs'!$P$77)</f>
        <v>-47184.142511865059</v>
      </c>
      <c r="R46" s="21">
        <f>IF('Financial Inputs'!$P$11="No",0,-(R$43+R$47)*'Financial Inputs'!$P$77)</f>
        <v>-47640.87500222736</v>
      </c>
      <c r="S46" s="21">
        <f>IF('Financial Inputs'!$P$11="No",0,-(S$43+S$47)*'Financial Inputs'!$P$77)</f>
        <v>-48106.742142396921</v>
      </c>
      <c r="T46" s="21">
        <f>IF('Financial Inputs'!$P$11="No",0,-(T$43+T$47)*'Financial Inputs'!$P$77)</f>
        <v>-48581.926625369844</v>
      </c>
      <c r="U46" s="21">
        <f>IF('Financial Inputs'!$P$11="No",0,-(U$43+U$47)*'Financial Inputs'!$P$77)</f>
        <v>-49066.614798002258</v>
      </c>
      <c r="V46" s="21">
        <f>IF('Financial Inputs'!$P$11="No",0,-(V$43+V$47)*'Financial Inputs'!$P$77)</f>
        <v>-49560.996734087305</v>
      </c>
      <c r="W46" s="21">
        <f>IF('Financial Inputs'!$P$11="No",0,-(W$43+W$47)*'Financial Inputs'!$P$77)</f>
        <v>-50065.266308894032</v>
      </c>
      <c r="X46" s="21">
        <f>IF('Financial Inputs'!$P$11="No",0,-(X$43+X$47)*'Financial Inputs'!$P$77)</f>
        <v>-50579.621275196943</v>
      </c>
      <c r="Y46" s="21">
        <f>IF('Financial Inputs'!$P$11="No",0,-(Y$43+Y$47)*'Financial Inputs'!$P$77)</f>
        <v>-51104.26334082587</v>
      </c>
      <c r="Z46" s="21">
        <f>IF('Financial Inputs'!$P$11="No",0,-(Z$43+Z$47)*'Financial Inputs'!$P$77)</f>
        <v>-48384.398247767385</v>
      </c>
      <c r="AA46" s="21">
        <f>IF('Financial Inputs'!$P$11="No",0,-(AA$43+AA$47)*'Financial Inputs'!$P$77)</f>
        <v>0</v>
      </c>
      <c r="AB46" s="21">
        <f>IF('Financial Inputs'!$P$11="No",0,-(AB$43+AB$47)*'Financial Inputs'!$P$77)</f>
        <v>0</v>
      </c>
      <c r="AC46" s="21">
        <f>IF('Financial Inputs'!$P$11="No",0,-(AC$43+AC$47)*'Financial Inputs'!$P$77)</f>
        <v>0</v>
      </c>
      <c r="AD46" s="21">
        <f>IF('Financial Inputs'!$P$11="No",0,-(AD$43+AD$47)*'Financial Inputs'!$P$77)</f>
        <v>0</v>
      </c>
      <c r="AE46" s="21">
        <f>IF('Financial Inputs'!$P$11="No",0,-(AE$43+AE$47)*'Financial Inputs'!$P$77)</f>
        <v>0</v>
      </c>
      <c r="AF46" s="21">
        <f>IF('Financial Inputs'!$P$11="No",0,-(AF$43+AF$47)*'Financial Inputs'!$P$77)</f>
        <v>0</v>
      </c>
      <c r="AG46" s="21">
        <f>IF('Financial Inputs'!$P$11="No",0,-(AG$43+AG$47)*'Financial Inputs'!$P$77)</f>
        <v>0</v>
      </c>
      <c r="AH46" s="21">
        <f>IF('Financial Inputs'!$P$11="No",0,-(AH$43+AH$47)*'Financial Inputs'!$P$77)</f>
        <v>0</v>
      </c>
      <c r="AI46" s="21">
        <f>IF('Financial Inputs'!$P$11="No",0,-(AI$43+AI$47)*'Financial Inputs'!$P$77)</f>
        <v>0</v>
      </c>
      <c r="AJ46" s="21">
        <f>IF('Financial Inputs'!$P$11="No",0,-(AJ$43+AJ$47)*'Financial Inputs'!$P$77)</f>
        <v>0</v>
      </c>
    </row>
    <row r="47" spans="2:36" s="1" customFormat="1" x14ac:dyDescent="0.2">
      <c r="B47" s="1" t="s">
        <v>110</v>
      </c>
      <c r="G47" s="21">
        <f>IF('Financial Inputs'!$P$11="No",0,-G$44*'Financial Inputs'!$P$78)</f>
        <v>-9113.2392900944196</v>
      </c>
      <c r="H47" s="21">
        <f>IF('Financial Inputs'!$P$11="No",0,-H$44*'Financial Inputs'!$P$78)</f>
        <v>-9112.4988036634513</v>
      </c>
      <c r="I47" s="21">
        <f>IF('Financial Inputs'!$P$11="No",0,-I$44*'Financial Inputs'!$P$78)</f>
        <v>-9283.5690852603748</v>
      </c>
      <c r="J47" s="21">
        <f>IF('Financial Inputs'!$P$11="No",0,-J$44*'Financial Inputs'!$P$78)</f>
        <v>-9421.2480311862637</v>
      </c>
      <c r="K47" s="21">
        <f>IF('Financial Inputs'!$P$11="No",0,-K$44*'Financial Inputs'!$P$78)</f>
        <v>-9508.0147178554653</v>
      </c>
      <c r="L47" s="21">
        <f>IF('Financial Inputs'!$P$11="No",0,-L$44*'Financial Inputs'!$P$78)</f>
        <v>-9636.1038316080285</v>
      </c>
      <c r="M47" s="21">
        <f>IF('Financial Inputs'!$P$11="No",0,-M$44*'Financial Inputs'!$P$78)</f>
        <v>-9766.046046053616</v>
      </c>
      <c r="N47" s="21">
        <f>IF('Financial Inputs'!$P$11="No",0,-N$44*'Financial Inputs'!$P$78)</f>
        <v>-9858.373363213932</v>
      </c>
      <c r="O47" s="21">
        <f>IF('Financial Inputs'!$P$11="No",0,-O$44*'Financial Inputs'!$P$78)</f>
        <v>-9952.6423467517288</v>
      </c>
      <c r="P47" s="21">
        <f>IF('Financial Inputs'!$P$11="No",0,-P$44*'Financial Inputs'!$P$78)</f>
        <v>-10048.899439597304</v>
      </c>
      <c r="Q47" s="21">
        <f>IF('Financial Inputs'!$P$11="No",0,-Q$44*'Financial Inputs'!$P$78)</f>
        <v>-10147.127421906467</v>
      </c>
      <c r="R47" s="21">
        <f>IF('Financial Inputs'!$P$11="No",0,-R$44*'Financial Inputs'!$P$78)</f>
        <v>-10245.349462844597</v>
      </c>
      <c r="S47" s="21">
        <f>IF('Financial Inputs'!$P$11="No",0,-S$44*'Financial Inputs'!$P$78)</f>
        <v>-10345.53594460149</v>
      </c>
      <c r="T47" s="21">
        <f>IF('Financial Inputs'!$P$11="No",0,-T$44*'Financial Inputs'!$P$78)</f>
        <v>-10447.726155993518</v>
      </c>
      <c r="U47" s="21">
        <f>IF('Financial Inputs'!$P$11="No",0,-U$44*'Financial Inputs'!$P$78)</f>
        <v>-10551.960171613389</v>
      </c>
      <c r="V47" s="21">
        <f>IF('Financial Inputs'!$P$11="No",0,-V$44*'Financial Inputs'!$P$78)</f>
        <v>-10658.278867545658</v>
      </c>
      <c r="W47" s="21">
        <f>IF('Financial Inputs'!$P$11="No",0,-W$44*'Financial Inputs'!$P$78)</f>
        <v>-10766.723937396568</v>
      </c>
      <c r="X47" s="21">
        <f>IF('Financial Inputs'!$P$11="No",0,-X$44*'Financial Inputs'!$P$78)</f>
        <v>-10877.337908644504</v>
      </c>
      <c r="Y47" s="21">
        <f>IF('Financial Inputs'!$P$11="No",0,-Y$44*'Financial Inputs'!$P$78)</f>
        <v>-10990.164159317392</v>
      </c>
      <c r="Z47" s="21">
        <f>IF('Financial Inputs'!$P$11="No",0,-Z$44*'Financial Inputs'!$P$78)</f>
        <v>-10405.246935003741</v>
      </c>
      <c r="AA47" s="21">
        <f>IF('Financial Inputs'!$P$11="No",0,-AA$44*'Financial Inputs'!$P$78)</f>
        <v>0</v>
      </c>
      <c r="AB47" s="21">
        <f>IF('Financial Inputs'!$P$11="No",0,-AB$44*'Financial Inputs'!$P$78)</f>
        <v>0</v>
      </c>
      <c r="AC47" s="21">
        <f>IF('Financial Inputs'!$P$11="No",0,-AC$44*'Financial Inputs'!$P$78)</f>
        <v>0</v>
      </c>
      <c r="AD47" s="21">
        <f>IF('Financial Inputs'!$P$11="No",0,-AD$44*'Financial Inputs'!$P$78)</f>
        <v>0</v>
      </c>
      <c r="AE47" s="21">
        <f>IF('Financial Inputs'!$P$11="No",0,-AE$44*'Financial Inputs'!$P$78)</f>
        <v>0</v>
      </c>
      <c r="AF47" s="21">
        <f>IF('Financial Inputs'!$P$11="No",0,-AF$44*'Financial Inputs'!$P$78)</f>
        <v>0</v>
      </c>
      <c r="AG47" s="21">
        <f>IF('Financial Inputs'!$P$11="No",0,-AG$44*'Financial Inputs'!$P$78)</f>
        <v>0</v>
      </c>
      <c r="AH47" s="21">
        <f>IF('Financial Inputs'!$P$11="No",0,-AH$44*'Financial Inputs'!$P$78)</f>
        <v>0</v>
      </c>
      <c r="AI47" s="21">
        <f>IF('Financial Inputs'!$P$11="No",0,-AI$44*'Financial Inputs'!$P$78)</f>
        <v>0</v>
      </c>
      <c r="AJ47" s="21">
        <f>IF('Financial Inputs'!$P$11="No",0,-AJ$44*'Financial Inputs'!$P$78)</f>
        <v>0</v>
      </c>
    </row>
    <row r="48" spans="2:36" s="1" customFormat="1" ht="15.75" x14ac:dyDescent="0.25">
      <c r="B48" s="18" t="s">
        <v>86</v>
      </c>
      <c r="C48" s="18"/>
      <c r="D48" s="18"/>
      <c r="E48" s="21"/>
      <c r="F48" s="23">
        <f t="shared" ref="F48:AJ48" si="15">F37+SUM(F46:F47)</f>
        <v>-7925</v>
      </c>
      <c r="G48" s="23">
        <f t="shared" si="15"/>
        <v>80486.657004858396</v>
      </c>
      <c r="H48" s="23">
        <f t="shared" si="15"/>
        <v>81642.396477868693</v>
      </c>
      <c r="I48" s="23">
        <f t="shared" si="15"/>
        <v>81850.464182957832</v>
      </c>
      <c r="J48" s="23">
        <f t="shared" si="15"/>
        <v>82270.715424008857</v>
      </c>
      <c r="K48" s="23">
        <f t="shared" si="15"/>
        <v>83002.616284549062</v>
      </c>
      <c r="L48" s="23">
        <f t="shared" si="15"/>
        <v>83525.5233025692</v>
      </c>
      <c r="M48" s="23">
        <f t="shared" si="15"/>
        <v>84062.93054700036</v>
      </c>
      <c r="N48" s="23">
        <f t="shared" si="15"/>
        <v>84838.334654135499</v>
      </c>
      <c r="O48" s="23">
        <f t="shared" si="15"/>
        <v>85628.753779374529</v>
      </c>
      <c r="P48" s="23">
        <f t="shared" si="15"/>
        <v>86434.448777956452</v>
      </c>
      <c r="Q48" s="23">
        <f t="shared" si="15"/>
        <v>87627.693236320862</v>
      </c>
      <c r="R48" s="23">
        <f t="shared" si="15"/>
        <v>88475.910718422267</v>
      </c>
      <c r="S48" s="23">
        <f t="shared" si="15"/>
        <v>89341.092550165718</v>
      </c>
      <c r="T48" s="23">
        <f t="shared" si="15"/>
        <v>90223.578018544024</v>
      </c>
      <c r="U48" s="23">
        <f t="shared" si="15"/>
        <v>91123.7131962899</v>
      </c>
      <c r="V48" s="23">
        <f t="shared" si="15"/>
        <v>92041.851077590705</v>
      </c>
      <c r="W48" s="23">
        <f t="shared" si="15"/>
        <v>92978.3517165175</v>
      </c>
      <c r="X48" s="23">
        <f t="shared" si="15"/>
        <v>93933.58236822288</v>
      </c>
      <c r="Y48" s="23">
        <f t="shared" si="15"/>
        <v>94907.917632962315</v>
      </c>
      <c r="Z48" s="23">
        <f t="shared" si="15"/>
        <v>99856.739602996575</v>
      </c>
      <c r="AA48" s="23">
        <f t="shared" si="15"/>
        <v>0</v>
      </c>
      <c r="AB48" s="23">
        <f t="shared" si="15"/>
        <v>0</v>
      </c>
      <c r="AC48" s="23">
        <f t="shared" si="15"/>
        <v>0</v>
      </c>
      <c r="AD48" s="23">
        <f t="shared" si="15"/>
        <v>0</v>
      </c>
      <c r="AE48" s="23">
        <f t="shared" si="15"/>
        <v>0</v>
      </c>
      <c r="AF48" s="23">
        <f t="shared" si="15"/>
        <v>0</v>
      </c>
      <c r="AG48" s="23">
        <f t="shared" si="15"/>
        <v>0</v>
      </c>
      <c r="AH48" s="23">
        <f t="shared" si="15"/>
        <v>0</v>
      </c>
      <c r="AI48" s="23">
        <f t="shared" si="15"/>
        <v>0</v>
      </c>
      <c r="AJ48" s="23">
        <f t="shared" si="15"/>
        <v>0</v>
      </c>
    </row>
    <row r="49" spans="1:36" s="1" customFormat="1" ht="15.75" x14ac:dyDescent="0.25">
      <c r="B49" s="27" t="s">
        <v>85</v>
      </c>
      <c r="C49" s="27"/>
      <c r="D49" s="27"/>
      <c r="E49" s="21"/>
      <c r="F49" s="23"/>
      <c r="G49" s="228">
        <f>IF(ISERROR(IRR($F48:G48)),"NA",IRR($F48:G48))</f>
        <v>9.1560450479316629</v>
      </c>
      <c r="H49" s="228">
        <f>IF(ISERROR(IRR($F48:H48)),"NA",IRR($F48:H48))</f>
        <v>10.085367397993567</v>
      </c>
      <c r="I49" s="228">
        <f>IF(ISERROR(IRR($F48:I48)),"NA",IRR($F48:I48))</f>
        <v>10.161894271294214</v>
      </c>
      <c r="J49" s="228">
        <f>IF(ISERROR(IRR($F48:J48)),"NA",IRR($F48:J48))</f>
        <v>10.168683873307737</v>
      </c>
      <c r="K49" s="228">
        <f>IF(ISERROR(IRR($F48:K48)),"NA",IRR($F48:K48))</f>
        <v>10.169295983817891</v>
      </c>
      <c r="L49" s="228">
        <f>IF(ISERROR(IRR($F48:L48)),"NA",IRR($F48:L48))</f>
        <v>10.169351118926857</v>
      </c>
      <c r="M49" s="228">
        <f>IF(ISERROR(IRR($F48:M48)),"NA",IRR($F48:M48))</f>
        <v>10.169356086838436</v>
      </c>
      <c r="N49" s="228">
        <f>IF(ISERROR(IRR($F48:N48)),"NA",IRR($F48:N48))</f>
        <v>10.169356535719551</v>
      </c>
      <c r="O49" s="228">
        <f>IF(ISERROR(IRR($F48:O48)),"NA",IRR($F48:O48))</f>
        <v>10.169356576271023</v>
      </c>
      <c r="P49" s="228">
        <f>IF(ISERROR(IRR($F48:P48)),"NA",IRR($F48:P48))</f>
        <v>10.169356579838338</v>
      </c>
      <c r="Q49" s="228">
        <f>IF(ISERROR(IRR($F48:Q48)),"NA",IRR($F48:Q48))</f>
        <v>10.169356580281999</v>
      </c>
      <c r="R49" s="228">
        <f>IF(ISERROR(IRR($F48:R48)),"NA",IRR($F48:R48))</f>
        <v>10.169356580312082</v>
      </c>
      <c r="S49" s="228">
        <f>IF(ISERROR(IRR($F48:S48)),"NA",IRR($F48:S48))</f>
        <v>10.169356580314783</v>
      </c>
      <c r="T49" s="228">
        <f>IF(ISERROR(IRR($F48:T48)),"NA",IRR($F48:T48))</f>
        <v>10.169356580315004</v>
      </c>
      <c r="U49" s="228">
        <f>IF(ISERROR(IRR($F48:U48)),"NA",IRR($F48:U48))</f>
        <v>10.169356580314934</v>
      </c>
      <c r="V49" s="228">
        <f>IF(ISERROR(IRR($F48:V48)),"NA",IRR($F48:V48))</f>
        <v>10.169356580314616</v>
      </c>
      <c r="W49" s="228">
        <f>IF(ISERROR(IRR($F48:W48)),"NA",IRR($F48:W48))</f>
        <v>10.16935658031373</v>
      </c>
      <c r="X49" s="228">
        <f>IF(ISERROR(IRR($F48:X48)),"NA",IRR($F48:X48))</f>
        <v>10.169356580311611</v>
      </c>
      <c r="Y49" s="228">
        <f>IF(ISERROR(IRR($F48:Y48)),"NA",IRR($F48:Y48))</f>
        <v>10.169356580307081</v>
      </c>
      <c r="Z49" s="228">
        <f>IF(ISERROR(IRR($F48:Z48)),"NA",IRR($F48:Z48))</f>
        <v>10.169356580297787</v>
      </c>
      <c r="AA49" s="228">
        <f>IF(ISERROR(IRR($F48:AA48)),"NA",IRR($F48:AA48))</f>
        <v>10.169356580297787</v>
      </c>
      <c r="AB49" s="228">
        <f>IF(ISERROR(IRR($F48:AB48)),"NA",IRR($F48:AB48))</f>
        <v>10.169356580297787</v>
      </c>
      <c r="AC49" s="228">
        <f>IF(ISERROR(IRR($F48:AC48)),"NA",IRR($F48:AC48))</f>
        <v>10.169356580297787</v>
      </c>
      <c r="AD49" s="228">
        <f>IF(ISERROR(IRR($F48:AD48)),"NA",IRR($F48:AD48))</f>
        <v>10.169356580297787</v>
      </c>
      <c r="AE49" s="228">
        <f>IF(ISERROR(IRR($F48:AE48)),"NA",IRR($F48:AE48))</f>
        <v>10.169356580297787</v>
      </c>
      <c r="AF49" s="228">
        <f>IF(ISERROR(IRR($F48:AF48)),"NA",IRR($F48:AF48))</f>
        <v>10.169356580297787</v>
      </c>
      <c r="AG49" s="228">
        <f>IF(ISERROR(IRR($F48:AG48)),"NA",IRR($F48:AG48))</f>
        <v>10.169356580297787</v>
      </c>
      <c r="AH49" s="228">
        <f>IF(ISERROR(IRR($F48:AH48)),"NA",IRR($F48:AH48))</f>
        <v>10.169356580297787</v>
      </c>
      <c r="AI49" s="228">
        <f>IF(ISERROR(IRR($F48:AI48)),"NA",IRR($F48:AI48))</f>
        <v>10.169356580297787</v>
      </c>
      <c r="AJ49" s="228">
        <f>IF(ISERROR(IRR($F48:AJ48)),"NA",IRR($F48:AJ48))</f>
        <v>10.169356580297787</v>
      </c>
    </row>
    <row r="50" spans="1:36" s="1" customFormat="1" ht="16.5" thickBot="1" x14ac:dyDescent="0.3">
      <c r="B50" s="18"/>
      <c r="C50" s="18"/>
      <c r="D50" s="18"/>
      <c r="E50" s="29"/>
      <c r="F50"/>
      <c r="G50"/>
      <c r="H50"/>
      <c r="I50"/>
      <c r="J50" s="237"/>
      <c r="K50" s="237"/>
      <c r="L50" s="237"/>
      <c r="M50" s="237"/>
      <c r="N50" s="23"/>
      <c r="O50" s="23"/>
      <c r="P50" s="23"/>
      <c r="Q50" s="23"/>
      <c r="R50" s="23"/>
      <c r="S50" s="23"/>
      <c r="T50" s="23"/>
      <c r="U50" s="23"/>
      <c r="V50" s="23"/>
      <c r="W50" s="23"/>
      <c r="X50" s="23"/>
      <c r="Y50" s="23"/>
      <c r="Z50" s="23"/>
      <c r="AA50" s="23"/>
      <c r="AB50" s="23"/>
      <c r="AC50" s="23"/>
      <c r="AD50" s="23"/>
      <c r="AE50" s="23"/>
      <c r="AF50" s="23"/>
      <c r="AG50" s="23"/>
      <c r="AH50" s="23"/>
      <c r="AI50" s="23"/>
      <c r="AJ50" s="23"/>
    </row>
    <row r="51" spans="1:36" s="1" customFormat="1" ht="16.5" thickBot="1" x14ac:dyDescent="0.3">
      <c r="B51" s="1049" t="s">
        <v>200</v>
      </c>
      <c r="C51" s="1050"/>
      <c r="D51" s="296">
        <f>IRR(F37:AJ37)</f>
        <v>16.661912329556426</v>
      </c>
      <c r="F51"/>
      <c r="G51"/>
      <c r="H51"/>
      <c r="I51"/>
      <c r="J51" s="279"/>
      <c r="K51" s="278"/>
      <c r="L51" s="23"/>
      <c r="O51" s="23"/>
      <c r="P51" s="23"/>
      <c r="Q51" s="23"/>
      <c r="R51" s="23"/>
      <c r="S51" s="23"/>
      <c r="T51" s="23"/>
      <c r="U51" s="23"/>
      <c r="V51" s="23"/>
      <c r="W51" s="23"/>
      <c r="X51" s="23"/>
      <c r="Y51" s="23"/>
      <c r="Z51" s="23"/>
      <c r="AA51" s="23"/>
      <c r="AB51" s="23"/>
      <c r="AC51" s="23"/>
      <c r="AD51" s="23"/>
      <c r="AE51" s="23"/>
      <c r="AF51" s="23"/>
      <c r="AG51" s="23"/>
      <c r="AH51" s="23"/>
      <c r="AI51" s="23"/>
      <c r="AJ51" s="23"/>
    </row>
    <row r="52" spans="1:36" s="1" customFormat="1" ht="16.5" thickBot="1" x14ac:dyDescent="0.3">
      <c r="B52" s="297" t="s">
        <v>201</v>
      </c>
      <c r="C52" s="298"/>
      <c r="D52" s="296">
        <f>IRR(F48:AJ48)</f>
        <v>10.169356580297787</v>
      </c>
      <c r="F52"/>
      <c r="G52"/>
      <c r="H52"/>
      <c r="I52"/>
      <c r="J52" s="277"/>
      <c r="K52" s="277"/>
      <c r="L52" s="23"/>
      <c r="O52" s="23"/>
      <c r="P52" s="23"/>
      <c r="Q52" s="23"/>
      <c r="R52" s="23"/>
      <c r="S52" s="23"/>
      <c r="T52" s="23"/>
      <c r="U52" s="23"/>
      <c r="V52" s="23"/>
      <c r="W52" s="23"/>
      <c r="X52" s="23"/>
      <c r="Y52" s="23"/>
      <c r="Z52" s="23"/>
      <c r="AA52" s="23"/>
      <c r="AB52" s="23"/>
      <c r="AC52" s="23"/>
      <c r="AD52" s="23"/>
      <c r="AE52" s="23"/>
      <c r="AF52" s="23"/>
      <c r="AG52" s="23"/>
      <c r="AH52" s="23"/>
      <c r="AI52" s="23"/>
      <c r="AJ52" s="23"/>
    </row>
    <row r="53" spans="1:36" s="1" customFormat="1" ht="16.5" thickBot="1" x14ac:dyDescent="0.3">
      <c r="B53" s="380" t="str">
        <f>"Net present value @ "&amp;FIXED('Financial Inputs'!V191*100,1)&amp;"% (over defined useful life)"</f>
        <v>Net present value @ 10.0% (over defined useful life)</v>
      </c>
      <c r="C53" s="381"/>
      <c r="D53" s="378">
        <f>NPV('Financial Inputs'!$V$191,'Detailed Cash Flow'!F48:AJ48)</f>
        <v>652258.26619721949</v>
      </c>
      <c r="F53"/>
      <c r="G53"/>
      <c r="H53"/>
      <c r="I53"/>
      <c r="J53" s="280"/>
      <c r="K53" s="276"/>
    </row>
    <row r="54" spans="1:36" s="1" customFormat="1" ht="16.5" thickBot="1" x14ac:dyDescent="0.3">
      <c r="B54" s="1051" t="s">
        <v>782</v>
      </c>
      <c r="C54" s="1052"/>
      <c r="D54" s="378">
        <f>-PMT('Financial Inputs'!V191,'Financial Inputs'!G9,D53)</f>
        <v>76614.011202316717</v>
      </c>
      <c r="E54" s="30"/>
      <c r="F54" s="223"/>
      <c r="G54" s="211"/>
      <c r="H54" s="223"/>
      <c r="I54" s="223"/>
      <c r="J54" s="223"/>
      <c r="K54" s="223"/>
      <c r="L54" s="223"/>
      <c r="M54" s="223"/>
      <c r="N54" s="223"/>
      <c r="O54" s="223"/>
      <c r="P54" s="223"/>
      <c r="Q54" s="223"/>
      <c r="R54" s="223"/>
      <c r="S54" s="223"/>
      <c r="T54" s="223"/>
      <c r="U54" s="223"/>
      <c r="V54" s="223"/>
      <c r="W54" s="223"/>
      <c r="X54" s="223"/>
      <c r="Y54" s="223"/>
      <c r="Z54" s="223"/>
      <c r="AA54" s="223"/>
      <c r="AB54" s="223"/>
      <c r="AC54" s="223"/>
      <c r="AD54" s="223"/>
      <c r="AE54" s="223"/>
      <c r="AF54" s="223"/>
      <c r="AG54" s="223"/>
      <c r="AH54" s="223"/>
      <c r="AI54" s="223"/>
      <c r="AJ54" s="223"/>
    </row>
    <row r="55" spans="1:36" s="379" customFormat="1" x14ac:dyDescent="0.25">
      <c r="A55"/>
      <c r="B55" t="s">
        <v>218</v>
      </c>
      <c r="F55" s="382"/>
      <c r="G55" s="383"/>
      <c r="H55" s="382"/>
      <c r="I55" s="382"/>
      <c r="J55" s="382"/>
      <c r="K55" s="382"/>
      <c r="L55" s="382"/>
      <c r="M55" s="382"/>
      <c r="N55" s="382"/>
      <c r="O55" s="382"/>
      <c r="P55" s="382"/>
      <c r="Q55" s="382"/>
      <c r="R55" s="382"/>
      <c r="S55" s="382"/>
      <c r="T55" s="382"/>
      <c r="U55" s="382"/>
      <c r="V55" s="382"/>
      <c r="W55" s="382"/>
      <c r="X55" s="382"/>
      <c r="Y55" s="382"/>
      <c r="Z55" s="382"/>
      <c r="AA55" s="382"/>
      <c r="AB55" s="382"/>
      <c r="AC55" s="382"/>
      <c r="AD55" s="382"/>
      <c r="AE55" s="382"/>
      <c r="AF55" s="382"/>
      <c r="AG55" s="382"/>
      <c r="AH55" s="382"/>
      <c r="AI55" s="382"/>
      <c r="AJ55" s="382"/>
    </row>
    <row r="56" spans="1:36" s="379" customFormat="1" x14ac:dyDescent="0.25">
      <c r="A56"/>
      <c r="B56" t="s">
        <v>720</v>
      </c>
      <c r="F56" s="384"/>
      <c r="G56" s="385">
        <f t="shared" ref="G56:AJ56" si="16">G7</f>
        <v>74800.362500000003</v>
      </c>
      <c r="H56" s="385">
        <f t="shared" si="16"/>
        <v>74800.362500000003</v>
      </c>
      <c r="I56" s="385">
        <f t="shared" si="16"/>
        <v>74800.362500000003</v>
      </c>
      <c r="J56" s="385">
        <f t="shared" si="16"/>
        <v>74800.362500000003</v>
      </c>
      <c r="K56" s="385">
        <f t="shared" si="16"/>
        <v>74800.362500000003</v>
      </c>
      <c r="L56" s="385">
        <f t="shared" si="16"/>
        <v>74800.362500000003</v>
      </c>
      <c r="M56" s="385">
        <f t="shared" si="16"/>
        <v>74800.362500000003</v>
      </c>
      <c r="N56" s="385">
        <f t="shared" si="16"/>
        <v>74800.362500000003</v>
      </c>
      <c r="O56" s="385">
        <f t="shared" si="16"/>
        <v>74800.362500000003</v>
      </c>
      <c r="P56" s="385">
        <f t="shared" si="16"/>
        <v>74800.362500000003</v>
      </c>
      <c r="Q56" s="385">
        <f t="shared" si="16"/>
        <v>74800.362500000003</v>
      </c>
      <c r="R56" s="385">
        <f t="shared" si="16"/>
        <v>74800.362500000003</v>
      </c>
      <c r="S56" s="385">
        <f t="shared" si="16"/>
        <v>74800.362500000003</v>
      </c>
      <c r="T56" s="385">
        <f t="shared" si="16"/>
        <v>74800.362500000003</v>
      </c>
      <c r="U56" s="385">
        <f t="shared" si="16"/>
        <v>74800.362500000003</v>
      </c>
      <c r="V56" s="385">
        <f t="shared" si="16"/>
        <v>74800.362500000003</v>
      </c>
      <c r="W56" s="385">
        <f t="shared" si="16"/>
        <v>74800.362500000003</v>
      </c>
      <c r="X56" s="385">
        <f t="shared" si="16"/>
        <v>74800.362500000003</v>
      </c>
      <c r="Y56" s="385">
        <f t="shared" si="16"/>
        <v>74800.362500000003</v>
      </c>
      <c r="Z56" s="385">
        <f t="shared" si="16"/>
        <v>74800.362500000003</v>
      </c>
      <c r="AA56" s="385">
        <f t="shared" si="16"/>
        <v>0</v>
      </c>
      <c r="AB56" s="385">
        <f t="shared" si="16"/>
        <v>0</v>
      </c>
      <c r="AC56" s="385">
        <f t="shared" si="16"/>
        <v>0</v>
      </c>
      <c r="AD56" s="385">
        <f t="shared" si="16"/>
        <v>0</v>
      </c>
      <c r="AE56" s="385">
        <f t="shared" si="16"/>
        <v>0</v>
      </c>
      <c r="AF56" s="385">
        <f t="shared" si="16"/>
        <v>0</v>
      </c>
      <c r="AG56" s="385">
        <f t="shared" si="16"/>
        <v>0</v>
      </c>
      <c r="AH56" s="385">
        <f t="shared" si="16"/>
        <v>0</v>
      </c>
      <c r="AI56" s="385">
        <f t="shared" si="16"/>
        <v>0</v>
      </c>
      <c r="AJ56" s="385">
        <f t="shared" si="16"/>
        <v>0</v>
      </c>
    </row>
    <row r="57" spans="1:36" s="379" customFormat="1" x14ac:dyDescent="0.25">
      <c r="A57"/>
      <c r="B57" t="str">
        <f>B8</f>
        <v>Nutrient value</v>
      </c>
      <c r="F57" s="384"/>
      <c r="G57" s="385">
        <f t="shared" ref="G57:AJ57" si="17">G8+G18</f>
        <v>37645.397872239293</v>
      </c>
      <c r="H57" s="385">
        <f t="shared" si="17"/>
        <v>38398.305829684075</v>
      </c>
      <c r="I57" s="385">
        <f t="shared" si="17"/>
        <v>39166.27194627776</v>
      </c>
      <c r="J57" s="385">
        <f t="shared" si="17"/>
        <v>39949.597385203313</v>
      </c>
      <c r="K57" s="385">
        <f t="shared" si="17"/>
        <v>40748.589332907381</v>
      </c>
      <c r="L57" s="385">
        <f t="shared" si="17"/>
        <v>41563.561119565529</v>
      </c>
      <c r="M57" s="385">
        <f t="shared" si="17"/>
        <v>42394.832341956841</v>
      </c>
      <c r="N57" s="385">
        <f t="shared" si="17"/>
        <v>43242.728988795978</v>
      </c>
      <c r="O57" s="385">
        <f t="shared" si="17"/>
        <v>44107.583568571907</v>
      </c>
      <c r="P57" s="385">
        <f t="shared" si="17"/>
        <v>44989.735239943337</v>
      </c>
      <c r="Q57" s="385">
        <f t="shared" si="17"/>
        <v>45889.529944742215</v>
      </c>
      <c r="R57" s="385">
        <f t="shared" si="17"/>
        <v>46807.320543637048</v>
      </c>
      <c r="S57" s="385">
        <f t="shared" si="17"/>
        <v>47743.466954509793</v>
      </c>
      <c r="T57" s="385">
        <f t="shared" si="17"/>
        <v>48698.336293599983</v>
      </c>
      <c r="U57" s="385">
        <f t="shared" si="17"/>
        <v>49672.30301947199</v>
      </c>
      <c r="V57" s="385">
        <f t="shared" si="17"/>
        <v>50665.749079861431</v>
      </c>
      <c r="W57" s="385">
        <f t="shared" si="17"/>
        <v>51679.064061458659</v>
      </c>
      <c r="X57" s="385">
        <f t="shared" si="17"/>
        <v>52712.645342687843</v>
      </c>
      <c r="Y57" s="385">
        <f t="shared" si="17"/>
        <v>53766.898249541598</v>
      </c>
      <c r="Z57" s="385">
        <f t="shared" si="17"/>
        <v>54842.236214532422</v>
      </c>
      <c r="AA57" s="385">
        <f t="shared" si="17"/>
        <v>0</v>
      </c>
      <c r="AB57" s="385">
        <f t="shared" si="17"/>
        <v>0</v>
      </c>
      <c r="AC57" s="385">
        <f t="shared" si="17"/>
        <v>0</v>
      </c>
      <c r="AD57" s="385">
        <f t="shared" si="17"/>
        <v>0</v>
      </c>
      <c r="AE57" s="385">
        <f t="shared" si="17"/>
        <v>0</v>
      </c>
      <c r="AF57" s="385">
        <f t="shared" si="17"/>
        <v>0</v>
      </c>
      <c r="AG57" s="385">
        <f t="shared" si="17"/>
        <v>0</v>
      </c>
      <c r="AH57" s="385">
        <f t="shared" si="17"/>
        <v>0</v>
      </c>
      <c r="AI57" s="385">
        <f t="shared" si="17"/>
        <v>0</v>
      </c>
      <c r="AJ57" s="385">
        <f t="shared" si="17"/>
        <v>0</v>
      </c>
    </row>
    <row r="58" spans="1:36" s="379" customFormat="1" x14ac:dyDescent="0.25">
      <c r="A58"/>
      <c r="B58" t="s">
        <v>373</v>
      </c>
      <c r="F58" s="384"/>
      <c r="G58" s="385">
        <f t="shared" ref="G58:AJ58" si="18">G9</f>
        <v>20000</v>
      </c>
      <c r="H58" s="385">
        <f t="shared" si="18"/>
        <v>20400</v>
      </c>
      <c r="I58" s="385">
        <f t="shared" si="18"/>
        <v>20808</v>
      </c>
      <c r="J58" s="385">
        <f t="shared" si="18"/>
        <v>21224.16</v>
      </c>
      <c r="K58" s="385">
        <f t="shared" si="18"/>
        <v>21648.643199999999</v>
      </c>
      <c r="L58" s="385">
        <f t="shared" si="18"/>
        <v>22081.616064000002</v>
      </c>
      <c r="M58" s="385">
        <f t="shared" si="18"/>
        <v>22523.24838528</v>
      </c>
      <c r="N58" s="385">
        <f t="shared" si="18"/>
        <v>22973.7133529856</v>
      </c>
      <c r="O58" s="385">
        <f t="shared" si="18"/>
        <v>23433.187620045315</v>
      </c>
      <c r="P58" s="385">
        <f t="shared" si="18"/>
        <v>23901.851372446221</v>
      </c>
      <c r="Q58" s="385">
        <f t="shared" si="18"/>
        <v>24379.888399895146</v>
      </c>
      <c r="R58" s="385">
        <f t="shared" si="18"/>
        <v>24867.48616789305</v>
      </c>
      <c r="S58" s="385">
        <f t="shared" si="18"/>
        <v>25364.83589125091</v>
      </c>
      <c r="T58" s="385">
        <f t="shared" si="18"/>
        <v>25872.132609075925</v>
      </c>
      <c r="U58" s="385">
        <f t="shared" si="18"/>
        <v>26389.575261257447</v>
      </c>
      <c r="V58" s="385">
        <f t="shared" si="18"/>
        <v>26917.366766482599</v>
      </c>
      <c r="W58" s="385">
        <f t="shared" si="18"/>
        <v>27455.714101812249</v>
      </c>
      <c r="X58" s="385">
        <f t="shared" si="18"/>
        <v>28004.828383848497</v>
      </c>
      <c r="Y58" s="385">
        <f t="shared" si="18"/>
        <v>28564.924951525467</v>
      </c>
      <c r="Z58" s="385">
        <f t="shared" si="18"/>
        <v>29136.223450555975</v>
      </c>
      <c r="AA58" s="385">
        <f t="shared" si="18"/>
        <v>0</v>
      </c>
      <c r="AB58" s="385">
        <f t="shared" si="18"/>
        <v>0</v>
      </c>
      <c r="AC58" s="385">
        <f t="shared" si="18"/>
        <v>0</v>
      </c>
      <c r="AD58" s="385">
        <f t="shared" si="18"/>
        <v>0</v>
      </c>
      <c r="AE58" s="385">
        <f t="shared" si="18"/>
        <v>0</v>
      </c>
      <c r="AF58" s="385">
        <f t="shared" si="18"/>
        <v>0</v>
      </c>
      <c r="AG58" s="385">
        <f t="shared" si="18"/>
        <v>0</v>
      </c>
      <c r="AH58" s="385">
        <f t="shared" si="18"/>
        <v>0</v>
      </c>
      <c r="AI58" s="385">
        <f t="shared" si="18"/>
        <v>0</v>
      </c>
      <c r="AJ58" s="385">
        <f t="shared" si="18"/>
        <v>0</v>
      </c>
    </row>
    <row r="59" spans="1:36" s="379" customFormat="1" x14ac:dyDescent="0.25">
      <c r="A59"/>
      <c r="B59" s="379" t="s">
        <v>219</v>
      </c>
      <c r="F59" s="384"/>
      <c r="G59" s="385">
        <v>0</v>
      </c>
      <c r="H59" s="385">
        <v>0</v>
      </c>
      <c r="I59" s="385">
        <v>0</v>
      </c>
      <c r="J59" s="385">
        <v>0</v>
      </c>
      <c r="K59" s="385">
        <v>0</v>
      </c>
      <c r="L59" s="385">
        <v>0</v>
      </c>
      <c r="M59" s="385">
        <v>0</v>
      </c>
      <c r="N59" s="385">
        <v>0</v>
      </c>
      <c r="O59" s="385">
        <v>0</v>
      </c>
      <c r="P59" s="385">
        <v>0</v>
      </c>
      <c r="Q59" s="385">
        <v>0</v>
      </c>
      <c r="R59" s="385">
        <v>0</v>
      </c>
      <c r="S59" s="385">
        <v>0</v>
      </c>
      <c r="T59" s="385">
        <v>0</v>
      </c>
      <c r="U59" s="385">
        <v>0</v>
      </c>
      <c r="V59" s="385">
        <v>0</v>
      </c>
      <c r="W59" s="385">
        <v>0</v>
      </c>
      <c r="X59" s="385">
        <v>0</v>
      </c>
      <c r="Y59" s="385">
        <v>0</v>
      </c>
      <c r="Z59" s="385">
        <v>0</v>
      </c>
      <c r="AA59" s="385">
        <v>0</v>
      </c>
      <c r="AB59" s="385">
        <v>0</v>
      </c>
      <c r="AC59" s="385">
        <v>0</v>
      </c>
      <c r="AD59" s="385">
        <v>0</v>
      </c>
      <c r="AE59" s="385">
        <v>0</v>
      </c>
      <c r="AF59" s="385">
        <v>0</v>
      </c>
      <c r="AG59" s="385">
        <v>0</v>
      </c>
      <c r="AH59" s="385">
        <v>0</v>
      </c>
      <c r="AI59" s="385">
        <v>0</v>
      </c>
      <c r="AJ59" s="385">
        <v>0</v>
      </c>
    </row>
    <row r="60" spans="1:36" s="379" customFormat="1" x14ac:dyDescent="0.25">
      <c r="A60"/>
      <c r="B60" t="s">
        <v>222</v>
      </c>
      <c r="F60" s="384"/>
      <c r="G60" s="385"/>
      <c r="H60" s="385"/>
      <c r="I60" s="385"/>
      <c r="J60" s="385"/>
      <c r="K60" s="385"/>
      <c r="L60" s="385"/>
      <c r="M60" s="385"/>
      <c r="N60" s="385"/>
      <c r="O60" s="385"/>
      <c r="P60" s="385"/>
      <c r="Q60" s="385"/>
      <c r="R60" s="385"/>
      <c r="S60" s="385"/>
      <c r="T60" s="385"/>
      <c r="U60" s="385"/>
      <c r="V60" s="385"/>
      <c r="W60" s="385"/>
      <c r="X60" s="385"/>
      <c r="Y60" s="385"/>
      <c r="Z60" s="385"/>
      <c r="AA60" s="385"/>
      <c r="AB60" s="385"/>
      <c r="AC60" s="385"/>
      <c r="AD60" s="385"/>
      <c r="AE60" s="385"/>
      <c r="AF60" s="385"/>
      <c r="AG60" s="385"/>
      <c r="AH60" s="385"/>
      <c r="AI60" s="385"/>
      <c r="AJ60" s="385"/>
    </row>
    <row r="61" spans="1:36" s="379" customFormat="1" x14ac:dyDescent="0.25">
      <c r="A61"/>
      <c r="B61" s="379" t="s">
        <v>220</v>
      </c>
      <c r="F61" s="384"/>
      <c r="G61" s="385">
        <f t="shared" ref="G61:AJ61" si="19">G16+G17</f>
        <v>-90.909090909090921</v>
      </c>
      <c r="H61" s="385">
        <f t="shared" si="19"/>
        <v>-92.727272727272734</v>
      </c>
      <c r="I61" s="385">
        <f t="shared" si="19"/>
        <v>-94.581818181818193</v>
      </c>
      <c r="J61" s="385">
        <f t="shared" si="19"/>
        <v>-96.473454545454558</v>
      </c>
      <c r="K61" s="385">
        <f t="shared" si="19"/>
        <v>-98.402923636363653</v>
      </c>
      <c r="L61" s="385">
        <f t="shared" si="19"/>
        <v>-100.37098210909092</v>
      </c>
      <c r="M61" s="385">
        <f t="shared" si="19"/>
        <v>-102.37840175127275</v>
      </c>
      <c r="N61" s="385">
        <f t="shared" si="19"/>
        <v>-104.4259697862982</v>
      </c>
      <c r="O61" s="385">
        <f t="shared" si="19"/>
        <v>-106.51448918202418</v>
      </c>
      <c r="P61" s="385">
        <f t="shared" si="19"/>
        <v>-108.64477896566466</v>
      </c>
      <c r="Q61" s="385">
        <f t="shared" si="19"/>
        <v>-110.81767454497795</v>
      </c>
      <c r="R61" s="385">
        <f t="shared" si="19"/>
        <v>-113.03402803587751</v>
      </c>
      <c r="S61" s="385">
        <f t="shared" si="19"/>
        <v>-115.29470859659506</v>
      </c>
      <c r="T61" s="385">
        <f t="shared" si="19"/>
        <v>-117.60060276852695</v>
      </c>
      <c r="U61" s="385">
        <f t="shared" si="19"/>
        <v>-119.95261482389751</v>
      </c>
      <c r="V61" s="385">
        <f t="shared" si="19"/>
        <v>-122.35166712037547</v>
      </c>
      <c r="W61" s="385">
        <f t="shared" si="19"/>
        <v>-124.79870046278297</v>
      </c>
      <c r="X61" s="385">
        <f t="shared" si="19"/>
        <v>-127.29467447203864</v>
      </c>
      <c r="Y61" s="385">
        <f t="shared" si="19"/>
        <v>-129.84056796147942</v>
      </c>
      <c r="Z61" s="385">
        <f t="shared" si="19"/>
        <v>-132.437379320709</v>
      </c>
      <c r="AA61" s="385">
        <f t="shared" si="19"/>
        <v>0</v>
      </c>
      <c r="AB61" s="385">
        <f t="shared" si="19"/>
        <v>0</v>
      </c>
      <c r="AC61" s="385">
        <f t="shared" si="19"/>
        <v>0</v>
      </c>
      <c r="AD61" s="385">
        <f t="shared" si="19"/>
        <v>0</v>
      </c>
      <c r="AE61" s="385">
        <f t="shared" si="19"/>
        <v>0</v>
      </c>
      <c r="AF61" s="385">
        <f t="shared" si="19"/>
        <v>0</v>
      </c>
      <c r="AG61" s="385">
        <f t="shared" si="19"/>
        <v>0</v>
      </c>
      <c r="AH61" s="385">
        <f t="shared" si="19"/>
        <v>0</v>
      </c>
      <c r="AI61" s="385">
        <f t="shared" si="19"/>
        <v>0</v>
      </c>
      <c r="AJ61" s="385">
        <f t="shared" si="19"/>
        <v>0</v>
      </c>
    </row>
    <row r="62" spans="1:36" s="379" customFormat="1" x14ac:dyDescent="0.25">
      <c r="A62"/>
      <c r="B62" t="s">
        <v>55</v>
      </c>
      <c r="F62" s="384"/>
      <c r="G62" s="385">
        <f>G27+G28</f>
        <v>-205.81856569564346</v>
      </c>
      <c r="H62" s="385">
        <f t="shared" ref="H62:AJ62" si="20">H27+H28</f>
        <v>-191.54671890752311</v>
      </c>
      <c r="I62" s="385">
        <f t="shared" si="20"/>
        <v>-176.13312437635309</v>
      </c>
      <c r="J62" s="385">
        <f t="shared" si="20"/>
        <v>-159.48644228268952</v>
      </c>
      <c r="K62" s="385">
        <f t="shared" si="20"/>
        <v>-141.50802562153285</v>
      </c>
      <c r="L62" s="385">
        <f t="shared" si="20"/>
        <v>-122.09133562748367</v>
      </c>
      <c r="M62" s="385">
        <f t="shared" si="20"/>
        <v>-101.12131043391052</v>
      </c>
      <c r="N62" s="385">
        <f t="shared" si="20"/>
        <v>-78.473683224851527</v>
      </c>
      <c r="O62" s="385">
        <f t="shared" si="20"/>
        <v>-54.014245839067826</v>
      </c>
      <c r="P62" s="385">
        <f t="shared" si="20"/>
        <v>-27.598053462421401</v>
      </c>
      <c r="Q62" s="385">
        <f t="shared" si="20"/>
        <v>0</v>
      </c>
      <c r="R62" s="385">
        <f t="shared" si="20"/>
        <v>0</v>
      </c>
      <c r="S62" s="385">
        <f t="shared" si="20"/>
        <v>0</v>
      </c>
      <c r="T62" s="385">
        <f t="shared" si="20"/>
        <v>0</v>
      </c>
      <c r="U62" s="385">
        <f t="shared" si="20"/>
        <v>0</v>
      </c>
      <c r="V62" s="385">
        <f t="shared" si="20"/>
        <v>0</v>
      </c>
      <c r="W62" s="385">
        <f t="shared" si="20"/>
        <v>0</v>
      </c>
      <c r="X62" s="385">
        <f t="shared" si="20"/>
        <v>0</v>
      </c>
      <c r="Y62" s="385">
        <f t="shared" si="20"/>
        <v>0</v>
      </c>
      <c r="Z62" s="385">
        <f t="shared" si="20"/>
        <v>0</v>
      </c>
      <c r="AA62" s="385">
        <f t="shared" si="20"/>
        <v>0</v>
      </c>
      <c r="AB62" s="385">
        <f t="shared" si="20"/>
        <v>0</v>
      </c>
      <c r="AC62" s="385">
        <f t="shared" si="20"/>
        <v>0</v>
      </c>
      <c r="AD62" s="385">
        <f t="shared" si="20"/>
        <v>0</v>
      </c>
      <c r="AE62" s="385">
        <f t="shared" si="20"/>
        <v>0</v>
      </c>
      <c r="AF62" s="385">
        <f t="shared" si="20"/>
        <v>0</v>
      </c>
      <c r="AG62" s="385">
        <f t="shared" si="20"/>
        <v>0</v>
      </c>
      <c r="AH62" s="385">
        <f t="shared" si="20"/>
        <v>0</v>
      </c>
      <c r="AI62" s="385">
        <f t="shared" si="20"/>
        <v>0</v>
      </c>
      <c r="AJ62" s="385">
        <f t="shared" si="20"/>
        <v>0</v>
      </c>
    </row>
    <row r="63" spans="1:36" s="379" customFormat="1" x14ac:dyDescent="0.25">
      <c r="A63"/>
      <c r="B63" s="379" t="s">
        <v>225</v>
      </c>
      <c r="F63" s="384"/>
      <c r="G63" s="385">
        <f t="shared" ref="G63:AJ63" si="21">G31</f>
        <v>-172.57372174268852</v>
      </c>
      <c r="H63" s="385">
        <f t="shared" si="21"/>
        <v>-186.37961948210364</v>
      </c>
      <c r="I63" s="385">
        <f t="shared" si="21"/>
        <v>-201.28998904067194</v>
      </c>
      <c r="J63" s="385">
        <f t="shared" si="21"/>
        <v>-217.39318816392569</v>
      </c>
      <c r="K63" s="385">
        <f t="shared" si="21"/>
        <v>-234.78464321703976</v>
      </c>
      <c r="L63" s="385">
        <f t="shared" si="21"/>
        <v>-253.56741467440295</v>
      </c>
      <c r="M63" s="385">
        <f t="shared" si="21"/>
        <v>-273.85280784835521</v>
      </c>
      <c r="N63" s="385">
        <f t="shared" si="21"/>
        <v>-295.76103247622365</v>
      </c>
      <c r="O63" s="385">
        <f t="shared" si="21"/>
        <v>-319.42191507432153</v>
      </c>
      <c r="P63" s="385">
        <f t="shared" si="21"/>
        <v>-344.97566828026731</v>
      </c>
      <c r="Q63" s="385">
        <f t="shared" si="21"/>
        <v>0</v>
      </c>
      <c r="R63" s="385">
        <f t="shared" si="21"/>
        <v>0</v>
      </c>
      <c r="S63" s="385">
        <f t="shared" si="21"/>
        <v>0</v>
      </c>
      <c r="T63" s="385">
        <f t="shared" si="21"/>
        <v>0</v>
      </c>
      <c r="U63" s="385">
        <f t="shared" si="21"/>
        <v>0</v>
      </c>
      <c r="V63" s="385">
        <f t="shared" si="21"/>
        <v>0</v>
      </c>
      <c r="W63" s="385">
        <f t="shared" si="21"/>
        <v>0</v>
      </c>
      <c r="X63" s="385">
        <f t="shared" si="21"/>
        <v>0</v>
      </c>
      <c r="Y63" s="385">
        <f t="shared" si="21"/>
        <v>0</v>
      </c>
      <c r="Z63" s="385">
        <f t="shared" si="21"/>
        <v>0</v>
      </c>
      <c r="AA63" s="385">
        <f t="shared" si="21"/>
        <v>0</v>
      </c>
      <c r="AB63" s="385">
        <f t="shared" si="21"/>
        <v>0</v>
      </c>
      <c r="AC63" s="385">
        <f t="shared" si="21"/>
        <v>0</v>
      </c>
      <c r="AD63" s="385">
        <f t="shared" si="21"/>
        <v>0</v>
      </c>
      <c r="AE63" s="385">
        <f t="shared" si="21"/>
        <v>0</v>
      </c>
      <c r="AF63" s="385">
        <f t="shared" si="21"/>
        <v>0</v>
      </c>
      <c r="AG63" s="385">
        <f t="shared" si="21"/>
        <v>0</v>
      </c>
      <c r="AH63" s="385">
        <f t="shared" si="21"/>
        <v>0</v>
      </c>
      <c r="AI63" s="385">
        <f t="shared" si="21"/>
        <v>0</v>
      </c>
      <c r="AJ63" s="385">
        <f t="shared" si="21"/>
        <v>0</v>
      </c>
    </row>
    <row r="64" spans="1:36" s="379" customFormat="1" x14ac:dyDescent="0.25">
      <c r="A64"/>
      <c r="B64" s="379" t="s">
        <v>221</v>
      </c>
      <c r="F64" s="384"/>
      <c r="G64" s="385">
        <f t="shared" ref="G64:AJ64" si="22">SUM(G46:G47)</f>
        <v>-51489.801989033462</v>
      </c>
      <c r="H64" s="385">
        <f t="shared" si="22"/>
        <v>-51485.618240698495</v>
      </c>
      <c r="I64" s="385">
        <f t="shared" si="22"/>
        <v>-52452.165331721109</v>
      </c>
      <c r="J64" s="385">
        <f t="shared" si="22"/>
        <v>-53230.051376202391</v>
      </c>
      <c r="K64" s="385">
        <f t="shared" si="22"/>
        <v>-53720.283155883371</v>
      </c>
      <c r="L64" s="385">
        <f t="shared" si="22"/>
        <v>-54443.986648585356</v>
      </c>
      <c r="M64" s="385">
        <f t="shared" si="22"/>
        <v>-55178.160160202926</v>
      </c>
      <c r="N64" s="385">
        <f t="shared" si="22"/>
        <v>-55699.809502158707</v>
      </c>
      <c r="O64" s="385">
        <f t="shared" si="22"/>
        <v>-56232.429259147262</v>
      </c>
      <c r="P64" s="385">
        <f t="shared" si="22"/>
        <v>-56776.281833724766</v>
      </c>
      <c r="Q64" s="385">
        <f t="shared" si="22"/>
        <v>-57331.269933771524</v>
      </c>
      <c r="R64" s="385">
        <f t="shared" si="22"/>
        <v>-57886.224465071959</v>
      </c>
      <c r="S64" s="385">
        <f t="shared" si="22"/>
        <v>-58452.278086998413</v>
      </c>
      <c r="T64" s="385">
        <f t="shared" si="22"/>
        <v>-59029.652781363358</v>
      </c>
      <c r="U64" s="385">
        <f t="shared" si="22"/>
        <v>-59618.574969615649</v>
      </c>
      <c r="V64" s="385">
        <f t="shared" si="22"/>
        <v>-60219.275601632966</v>
      </c>
      <c r="W64" s="385">
        <f t="shared" si="22"/>
        <v>-60831.990246290603</v>
      </c>
      <c r="X64" s="385">
        <f t="shared" si="22"/>
        <v>-61456.959183841449</v>
      </c>
      <c r="Y64" s="385">
        <f t="shared" si="22"/>
        <v>-62094.427500143262</v>
      </c>
      <c r="Z64" s="385">
        <f t="shared" si="22"/>
        <v>-58789.645182771128</v>
      </c>
      <c r="AA64" s="385">
        <f t="shared" si="22"/>
        <v>0</v>
      </c>
      <c r="AB64" s="385">
        <f t="shared" si="22"/>
        <v>0</v>
      </c>
      <c r="AC64" s="385">
        <f t="shared" si="22"/>
        <v>0</v>
      </c>
      <c r="AD64" s="385">
        <f t="shared" si="22"/>
        <v>0</v>
      </c>
      <c r="AE64" s="385">
        <f t="shared" si="22"/>
        <v>0</v>
      </c>
      <c r="AF64" s="385">
        <f t="shared" si="22"/>
        <v>0</v>
      </c>
      <c r="AG64" s="385">
        <f t="shared" si="22"/>
        <v>0</v>
      </c>
      <c r="AH64" s="385">
        <f t="shared" si="22"/>
        <v>0</v>
      </c>
      <c r="AI64" s="385">
        <f t="shared" si="22"/>
        <v>0</v>
      </c>
      <c r="AJ64" s="385">
        <f t="shared" si="22"/>
        <v>0</v>
      </c>
    </row>
    <row r="65" spans="1:36" s="379" customFormat="1" x14ac:dyDescent="0.25">
      <c r="A65"/>
      <c r="B65" s="379" t="s">
        <v>223</v>
      </c>
      <c r="F65" s="384"/>
      <c r="G65" s="385"/>
      <c r="H65" s="385"/>
      <c r="I65" s="385"/>
      <c r="J65" s="385"/>
      <c r="K65" s="385"/>
      <c r="L65" s="385"/>
      <c r="M65" s="385"/>
      <c r="N65" s="385"/>
      <c r="O65" s="385"/>
      <c r="P65" s="385"/>
      <c r="Q65" s="385"/>
      <c r="R65" s="385"/>
      <c r="S65" s="385"/>
      <c r="T65" s="385"/>
      <c r="U65" s="385"/>
      <c r="V65" s="385"/>
      <c r="W65" s="385"/>
      <c r="X65" s="385"/>
      <c r="Y65" s="385"/>
      <c r="Z65" s="385"/>
      <c r="AA65" s="385"/>
      <c r="AB65" s="385"/>
      <c r="AC65" s="385"/>
      <c r="AD65" s="385"/>
      <c r="AE65" s="385"/>
      <c r="AF65" s="385"/>
      <c r="AG65" s="385"/>
      <c r="AH65" s="385"/>
      <c r="AI65" s="385"/>
      <c r="AJ65" s="385"/>
    </row>
    <row r="66" spans="1:36" s="379" customFormat="1" x14ac:dyDescent="0.25">
      <c r="A66"/>
      <c r="B66" s="379" t="s">
        <v>224</v>
      </c>
      <c r="F66" s="384">
        <f>F48</f>
        <v>-7925</v>
      </c>
      <c r="G66" s="385">
        <f t="shared" ref="G66:AJ66" si="23">SUM(G56:G64)</f>
        <v>80486.657004858396</v>
      </c>
      <c r="H66" s="385">
        <f t="shared" si="23"/>
        <v>81642.396477868693</v>
      </c>
      <c r="I66" s="385">
        <f t="shared" si="23"/>
        <v>81850.464182957803</v>
      </c>
      <c r="J66" s="385">
        <f t="shared" si="23"/>
        <v>82270.715424008857</v>
      </c>
      <c r="K66" s="385">
        <f t="shared" si="23"/>
        <v>83002.616284549062</v>
      </c>
      <c r="L66" s="385">
        <f t="shared" si="23"/>
        <v>83525.52330256917</v>
      </c>
      <c r="M66" s="385">
        <f t="shared" si="23"/>
        <v>84062.93054700036</v>
      </c>
      <c r="N66" s="385">
        <f t="shared" si="23"/>
        <v>84838.334654135499</v>
      </c>
      <c r="O66" s="385">
        <f t="shared" si="23"/>
        <v>85628.753779374558</v>
      </c>
      <c r="P66" s="385">
        <f t="shared" si="23"/>
        <v>86434.448777956452</v>
      </c>
      <c r="Q66" s="385">
        <f t="shared" si="23"/>
        <v>87627.693236320862</v>
      </c>
      <c r="R66" s="385">
        <f t="shared" si="23"/>
        <v>88475.910718422267</v>
      </c>
      <c r="S66" s="385">
        <f t="shared" si="23"/>
        <v>89341.092550165689</v>
      </c>
      <c r="T66" s="385">
        <f t="shared" si="23"/>
        <v>90223.578018544024</v>
      </c>
      <c r="U66" s="385">
        <f t="shared" si="23"/>
        <v>91123.7131962899</v>
      </c>
      <c r="V66" s="385">
        <f t="shared" si="23"/>
        <v>92041.851077590676</v>
      </c>
      <c r="W66" s="385">
        <f t="shared" si="23"/>
        <v>92978.3517165175</v>
      </c>
      <c r="X66" s="385">
        <f t="shared" si="23"/>
        <v>93933.582368222851</v>
      </c>
      <c r="Y66" s="385">
        <f t="shared" si="23"/>
        <v>94907.917632962315</v>
      </c>
      <c r="Z66" s="385">
        <f t="shared" si="23"/>
        <v>99856.739602996546</v>
      </c>
      <c r="AA66" s="385">
        <f t="shared" si="23"/>
        <v>0</v>
      </c>
      <c r="AB66" s="385">
        <f t="shared" si="23"/>
        <v>0</v>
      </c>
      <c r="AC66" s="385">
        <f t="shared" si="23"/>
        <v>0</v>
      </c>
      <c r="AD66" s="385">
        <f t="shared" si="23"/>
        <v>0</v>
      </c>
      <c r="AE66" s="385">
        <f t="shared" si="23"/>
        <v>0</v>
      </c>
      <c r="AF66" s="385">
        <f t="shared" si="23"/>
        <v>0</v>
      </c>
      <c r="AG66" s="385">
        <f t="shared" si="23"/>
        <v>0</v>
      </c>
      <c r="AH66" s="385">
        <f t="shared" si="23"/>
        <v>0</v>
      </c>
      <c r="AI66" s="385">
        <f t="shared" si="23"/>
        <v>0</v>
      </c>
      <c r="AJ66" s="385">
        <f t="shared" si="23"/>
        <v>0</v>
      </c>
    </row>
    <row r="67" spans="1:36" s="379" customFormat="1" x14ac:dyDescent="0.25">
      <c r="A67"/>
      <c r="B67"/>
      <c r="C67"/>
      <c r="E67" s="384"/>
      <c r="F67" s="384"/>
      <c r="G67" s="385"/>
      <c r="H67" s="385"/>
      <c r="I67" s="385"/>
      <c r="J67" s="385"/>
      <c r="K67" s="385"/>
      <c r="L67" s="385"/>
      <c r="M67" s="385"/>
      <c r="N67" s="385"/>
      <c r="O67" s="385"/>
      <c r="P67" s="385"/>
      <c r="Q67" s="385"/>
      <c r="R67" s="385"/>
      <c r="S67" s="385"/>
      <c r="T67" s="385"/>
      <c r="U67" s="385"/>
      <c r="V67" s="385"/>
      <c r="W67" s="385"/>
      <c r="X67" s="385"/>
      <c r="Y67" s="385"/>
      <c r="Z67" s="385"/>
      <c r="AA67" s="385"/>
      <c r="AB67" s="385"/>
      <c r="AC67" s="385"/>
      <c r="AD67" s="385"/>
      <c r="AE67" s="385"/>
      <c r="AF67" s="385"/>
      <c r="AG67" s="385"/>
      <c r="AH67" s="385"/>
      <c r="AI67" s="385"/>
      <c r="AJ67" s="385"/>
    </row>
    <row r="68" spans="1:36" s="379" customFormat="1" x14ac:dyDescent="0.25">
      <c r="A68"/>
      <c r="B68" t="s">
        <v>218</v>
      </c>
      <c r="C68" t="s">
        <v>543</v>
      </c>
      <c r="D68" s="379" t="s">
        <v>542</v>
      </c>
      <c r="E68" s="379" t="s">
        <v>785</v>
      </c>
      <c r="F68" s="384"/>
      <c r="G68" s="385"/>
      <c r="H68" s="385"/>
      <c r="I68" s="385"/>
      <c r="J68" s="385"/>
      <c r="K68" s="385"/>
      <c r="L68" s="385"/>
      <c r="M68" s="385"/>
      <c r="N68" s="385"/>
      <c r="O68" s="385"/>
      <c r="P68" s="385"/>
      <c r="Q68" s="385"/>
      <c r="R68" s="385"/>
      <c r="S68" s="385"/>
      <c r="T68" s="385"/>
      <c r="U68" s="385"/>
      <c r="V68" s="385"/>
      <c r="W68" s="385"/>
      <c r="X68" s="385"/>
      <c r="Y68" s="385"/>
      <c r="Z68" s="385"/>
      <c r="AA68" s="385"/>
      <c r="AB68" s="385"/>
      <c r="AC68" s="385"/>
      <c r="AD68" s="385"/>
      <c r="AE68" s="385"/>
      <c r="AF68" s="385"/>
      <c r="AG68" s="385"/>
      <c r="AH68" s="385"/>
      <c r="AI68" s="385"/>
      <c r="AJ68" s="385"/>
    </row>
    <row r="69" spans="1:36" s="379" customFormat="1" x14ac:dyDescent="0.25">
      <c r="A69"/>
      <c r="B69" t="s">
        <v>720</v>
      </c>
      <c r="C69" s="387">
        <f>NPV('Financial Inputs'!$V$191,'Detailed Cash Flow'!F56:AJ56)</f>
        <v>636817.65240478865</v>
      </c>
      <c r="D69" s="387"/>
      <c r="E69" s="388">
        <f>-PMT((1+'Financial Inputs'!$G$42)/(1+'Financial Inputs'!$G$11)-1,'Financial Inputs'!$G$9,C69)*(1+'Financial Inputs'!$G$11)</f>
        <v>65388.118206266859</v>
      </c>
      <c r="F69" s="391"/>
      <c r="I69" s="385"/>
      <c r="J69" s="385"/>
      <c r="K69" s="385"/>
      <c r="L69" s="385"/>
      <c r="M69" s="385"/>
      <c r="N69" s="385"/>
      <c r="O69" s="385"/>
      <c r="P69" s="385"/>
      <c r="Q69" s="385"/>
      <c r="R69" s="385"/>
      <c r="S69" s="385"/>
      <c r="T69" s="385"/>
      <c r="U69" s="385"/>
      <c r="V69" s="385"/>
      <c r="W69" s="385"/>
      <c r="X69" s="385"/>
      <c r="Y69" s="385"/>
      <c r="Z69" s="385"/>
      <c r="AA69" s="385"/>
      <c r="AB69" s="385"/>
      <c r="AC69" s="385"/>
      <c r="AD69" s="385"/>
      <c r="AE69" s="385"/>
      <c r="AF69" s="385"/>
      <c r="AG69" s="385"/>
      <c r="AH69" s="385"/>
      <c r="AI69" s="385"/>
      <c r="AJ69" s="385"/>
    </row>
    <row r="70" spans="1:36" s="379" customFormat="1" x14ac:dyDescent="0.25">
      <c r="A70"/>
      <c r="B70" t="str">
        <f>B8</f>
        <v>Nutrient value</v>
      </c>
      <c r="C70" s="387">
        <f>NPV('Financial Inputs'!$V$191,'Detailed Cash Flow'!F57:AJ57)</f>
        <v>366630.12416445487</v>
      </c>
      <c r="D70" s="387"/>
      <c r="E70" s="388">
        <f>-PMT((1+'Financial Inputs'!$G$42)/(1+'Financial Inputs'!$G$11)-1,'Financial Inputs'!$G$9,C70)*(1+'Financial Inputs'!$G$11)</f>
        <v>37645.397872239315</v>
      </c>
      <c r="F70" s="391"/>
      <c r="I70" s="385"/>
      <c r="J70" s="385"/>
      <c r="K70" s="385"/>
      <c r="L70" s="385"/>
      <c r="M70" s="385"/>
      <c r="N70" s="385"/>
      <c r="O70" s="385"/>
      <c r="P70" s="385"/>
      <c r="Q70" s="385"/>
      <c r="R70" s="385"/>
      <c r="S70" s="385"/>
      <c r="T70" s="385"/>
      <c r="U70" s="385"/>
      <c r="V70" s="385"/>
      <c r="W70" s="385"/>
      <c r="X70" s="385"/>
      <c r="Y70" s="385"/>
      <c r="Z70" s="385"/>
      <c r="AA70" s="385"/>
      <c r="AB70" s="385"/>
      <c r="AC70" s="385"/>
      <c r="AD70" s="385"/>
      <c r="AE70" s="385"/>
      <c r="AF70" s="385"/>
      <c r="AG70" s="385"/>
      <c r="AH70" s="385"/>
      <c r="AI70" s="385"/>
      <c r="AJ70" s="385"/>
    </row>
    <row r="71" spans="1:36" s="379" customFormat="1" x14ac:dyDescent="0.25">
      <c r="A71"/>
      <c r="B71" t="s">
        <v>431</v>
      </c>
      <c r="C71" s="387">
        <f>NPV('Financial Inputs'!$V$191,'Detailed Cash Flow'!F58:AJ58)</f>
        <v>194780.84700218705</v>
      </c>
      <c r="D71" s="387"/>
      <c r="E71" s="388">
        <f>-PMT((1+'Financial Inputs'!$G$42)/(1+'Financial Inputs'!$G$11)-1,'Financial Inputs'!$G$9,C71)*(1+'Financial Inputs'!$G$11)</f>
        <v>20000.000000000015</v>
      </c>
      <c r="F71" s="391"/>
      <c r="I71" s="385"/>
      <c r="J71" s="385"/>
      <c r="K71" s="385"/>
      <c r="L71" s="385"/>
      <c r="M71" s="385"/>
      <c r="N71" s="385"/>
      <c r="O71" s="385"/>
      <c r="P71" s="385"/>
      <c r="Q71" s="385"/>
      <c r="R71" s="385"/>
      <c r="S71" s="385"/>
      <c r="T71" s="385"/>
      <c r="U71" s="385"/>
      <c r="V71" s="385"/>
      <c r="W71" s="385"/>
      <c r="X71" s="385"/>
      <c r="Y71" s="385"/>
      <c r="Z71" s="385"/>
      <c r="AA71" s="385"/>
      <c r="AB71" s="385"/>
      <c r="AC71" s="385"/>
      <c r="AD71" s="385"/>
      <c r="AE71" s="385"/>
      <c r="AF71" s="385"/>
      <c r="AG71" s="385"/>
      <c r="AH71" s="385"/>
      <c r="AI71" s="385"/>
      <c r="AJ71" s="385"/>
    </row>
    <row r="72" spans="1:36" s="379" customFormat="1" x14ac:dyDescent="0.25">
      <c r="A72"/>
      <c r="B72" s="390" t="s">
        <v>55</v>
      </c>
      <c r="C72" s="387">
        <f>NPV('Financial Inputs'!$V$191,'Detailed Cash Flow'!F59:AJ59)</f>
        <v>0</v>
      </c>
      <c r="D72" s="387"/>
      <c r="E72" s="388">
        <f>-PMT((1+'Financial Inputs'!$G$42)/(1+'Financial Inputs'!$G$11)-1,'Financial Inputs'!$G$9,C72)*(1+'Financial Inputs'!$G$11)</f>
        <v>0</v>
      </c>
      <c r="F72" s="391"/>
      <c r="I72" s="385"/>
      <c r="J72" s="385"/>
      <c r="K72" s="385"/>
      <c r="L72" s="385"/>
      <c r="M72" s="385"/>
      <c r="N72" s="385"/>
      <c r="O72" s="385"/>
      <c r="P72" s="385"/>
      <c r="Q72" s="385"/>
      <c r="R72" s="385"/>
      <c r="S72" s="385"/>
      <c r="T72" s="385"/>
      <c r="U72" s="385"/>
      <c r="V72" s="385"/>
      <c r="W72" s="385"/>
      <c r="X72" s="385"/>
      <c r="Y72" s="385"/>
      <c r="Z72" s="385"/>
      <c r="AA72" s="385"/>
      <c r="AB72" s="385"/>
      <c r="AC72" s="385"/>
      <c r="AD72" s="385"/>
      <c r="AE72" s="385"/>
      <c r="AF72" s="385"/>
      <c r="AG72" s="385"/>
      <c r="AH72" s="385"/>
      <c r="AI72" s="385"/>
      <c r="AJ72" s="385"/>
    </row>
    <row r="73" spans="1:36" s="379" customFormat="1" x14ac:dyDescent="0.25">
      <c r="A73"/>
      <c r="B73" t="s">
        <v>222</v>
      </c>
      <c r="C73" s="388">
        <f>SUM(C69:C72)</f>
        <v>1198228.6235714306</v>
      </c>
      <c r="D73" s="387"/>
      <c r="E73" s="388">
        <f>SUM(E69:E72)</f>
        <v>123033.51607850619</v>
      </c>
      <c r="F73" s="388"/>
      <c r="I73" s="385"/>
      <c r="J73" s="385"/>
      <c r="K73" s="385"/>
      <c r="L73" s="385"/>
      <c r="M73" s="385"/>
      <c r="N73" s="385"/>
      <c r="O73" s="385"/>
      <c r="P73" s="385"/>
      <c r="Q73" s="385"/>
      <c r="R73" s="385"/>
      <c r="S73" s="385"/>
      <c r="T73" s="385"/>
      <c r="U73" s="385"/>
      <c r="V73" s="385"/>
      <c r="W73" s="385"/>
      <c r="X73" s="385"/>
      <c r="Y73" s="385"/>
      <c r="Z73" s="385"/>
      <c r="AA73" s="385"/>
      <c r="AB73" s="385"/>
      <c r="AC73" s="385"/>
      <c r="AD73" s="385"/>
      <c r="AE73" s="385"/>
      <c r="AF73" s="385"/>
      <c r="AG73" s="385"/>
      <c r="AH73" s="385"/>
      <c r="AI73" s="385"/>
      <c r="AJ73" s="385"/>
    </row>
    <row r="74" spans="1:36" s="379" customFormat="1" x14ac:dyDescent="0.25">
      <c r="A74"/>
      <c r="B74" s="379" t="s">
        <v>220</v>
      </c>
      <c r="C74" s="387"/>
      <c r="D74" s="387">
        <f>-NPV('Financial Inputs'!$V$191,'Detailed Cash Flow'!F61:AJ61)</f>
        <v>885.36748637357744</v>
      </c>
      <c r="E74" s="388"/>
      <c r="F74" s="388">
        <f>-PMT((1+'Financial Inputs'!$G$42)/(1+'Financial Inputs'!$G$11)-1,'Financial Inputs'!$G$9,D74)*(1+'Financial Inputs'!$G$11)</f>
        <v>90.909090909090978</v>
      </c>
      <c r="I74" s="385"/>
      <c r="J74" s="385"/>
      <c r="K74" s="385"/>
      <c r="L74" s="385"/>
      <c r="M74" s="385"/>
      <c r="N74" s="385"/>
      <c r="O74" s="385"/>
      <c r="P74" s="385"/>
      <c r="Q74" s="385"/>
      <c r="R74" s="385"/>
      <c r="S74" s="385"/>
      <c r="T74" s="385"/>
      <c r="U74" s="385"/>
      <c r="V74" s="385"/>
      <c r="W74" s="385"/>
      <c r="X74" s="385"/>
      <c r="Y74" s="385"/>
      <c r="Z74" s="385"/>
      <c r="AA74" s="385"/>
      <c r="AB74" s="385"/>
      <c r="AC74" s="385"/>
      <c r="AD74" s="385"/>
      <c r="AE74" s="385"/>
      <c r="AF74" s="385"/>
      <c r="AG74" s="385"/>
      <c r="AH74" s="385"/>
      <c r="AI74" s="385"/>
      <c r="AJ74" s="385"/>
    </row>
    <row r="75" spans="1:36" s="379" customFormat="1" x14ac:dyDescent="0.25">
      <c r="A75"/>
      <c r="B75" s="379" t="s">
        <v>324</v>
      </c>
      <c r="C75" s="387"/>
      <c r="D75" s="387">
        <f>-F66</f>
        <v>7925</v>
      </c>
      <c r="E75" s="388"/>
      <c r="F75" s="388">
        <f>-PMT((1+'Financial Inputs'!$G$42)/(1+'Financial Inputs'!$G$11)-1,'Financial Inputs'!$G$9,D75)*(1+'Financial Inputs'!$G$11)</f>
        <v>813.73503832345727</v>
      </c>
      <c r="I75" s="385"/>
      <c r="J75" s="385"/>
      <c r="K75" s="385"/>
      <c r="L75" s="385"/>
      <c r="M75" s="385"/>
      <c r="N75" s="385"/>
      <c r="O75" s="385"/>
      <c r="P75" s="385"/>
      <c r="Q75" s="385"/>
      <c r="R75" s="385"/>
      <c r="S75" s="385"/>
      <c r="T75" s="385"/>
      <c r="U75" s="385"/>
      <c r="V75" s="385"/>
      <c r="W75" s="385"/>
      <c r="X75" s="385"/>
      <c r="Y75" s="385"/>
      <c r="Z75" s="385"/>
      <c r="AA75" s="385"/>
      <c r="AB75" s="385"/>
      <c r="AC75" s="385"/>
      <c r="AD75" s="385"/>
      <c r="AE75" s="385"/>
      <c r="AF75" s="385"/>
      <c r="AG75" s="385"/>
      <c r="AH75" s="385"/>
      <c r="AI75" s="385"/>
      <c r="AJ75" s="385"/>
    </row>
    <row r="76" spans="1:36" s="379" customFormat="1" x14ac:dyDescent="0.25">
      <c r="A76"/>
      <c r="B76" s="108" t="s">
        <v>55</v>
      </c>
      <c r="C76" s="387"/>
      <c r="D76" s="387">
        <f>-NPV('Financial Inputs'!$V$191,'Detailed Cash Flow'!F62:AJ62)+NPV('Financial Inputs'!$V$191,'Detailed Cash Flow'!F59:AJ59)</f>
        <v>865.50372739748798</v>
      </c>
      <c r="E76" s="388"/>
      <c r="F76" s="388">
        <f>-PMT((1+'Financial Inputs'!$G$42)/(1+'Financial Inputs'!$G$11)-1,'Financial Inputs'!$G$9,D76)*(1+'Financial Inputs'!$G$11)</f>
        <v>88.869490067241642</v>
      </c>
      <c r="I76" s="385"/>
      <c r="J76" s="385"/>
      <c r="K76" s="385"/>
      <c r="L76" s="385"/>
      <c r="M76" s="385"/>
      <c r="N76" s="385"/>
      <c r="O76" s="385"/>
      <c r="P76" s="385"/>
      <c r="Q76" s="385"/>
      <c r="R76" s="385"/>
      <c r="S76" s="385"/>
      <c r="T76" s="385"/>
      <c r="U76" s="385"/>
      <c r="V76" s="385"/>
      <c r="W76" s="385"/>
      <c r="X76" s="385"/>
      <c r="Y76" s="385"/>
      <c r="Z76" s="385"/>
      <c r="AA76" s="385"/>
      <c r="AB76" s="385"/>
      <c r="AC76" s="385"/>
      <c r="AD76" s="385"/>
      <c r="AE76" s="385"/>
      <c r="AF76" s="385"/>
      <c r="AG76" s="385"/>
      <c r="AH76" s="385"/>
      <c r="AI76" s="385"/>
      <c r="AJ76" s="385"/>
    </row>
    <row r="77" spans="1:36" s="379" customFormat="1" x14ac:dyDescent="0.25">
      <c r="A77"/>
      <c r="B77" s="379" t="s">
        <v>56</v>
      </c>
      <c r="C77" s="391"/>
      <c r="D77" s="387">
        <f>-NPV('Financial Inputs'!$V$191,'Detailed Cash Flow'!F63:AJ63)</f>
        <v>1446.5211753504677</v>
      </c>
      <c r="E77" s="391"/>
      <c r="F77" s="388">
        <f>-PMT((1+'Financial Inputs'!$G$42)/(1+'Financial Inputs'!$G$11)-1,'Financial Inputs'!$G$9,D77)*(1+'Financial Inputs'!$G$11)</f>
        <v>148.52807117470098</v>
      </c>
      <c r="I77" s="385"/>
      <c r="J77" s="385"/>
      <c r="K77" s="385"/>
      <c r="L77" s="385"/>
      <c r="M77" s="385"/>
      <c r="N77" s="385"/>
      <c r="O77" s="385"/>
      <c r="P77" s="385"/>
      <c r="Q77" s="385"/>
      <c r="R77" s="385"/>
      <c r="S77" s="385"/>
      <c r="T77" s="385"/>
      <c r="U77" s="385"/>
      <c r="V77" s="385"/>
      <c r="W77" s="385"/>
      <c r="X77" s="385"/>
      <c r="Y77" s="385"/>
      <c r="Z77" s="385"/>
      <c r="AA77" s="385"/>
      <c r="AB77" s="385"/>
      <c r="AC77" s="385"/>
      <c r="AD77" s="385"/>
      <c r="AE77" s="385"/>
      <c r="AF77" s="385"/>
      <c r="AG77" s="385"/>
      <c r="AH77" s="385"/>
      <c r="AI77" s="385"/>
      <c r="AJ77" s="385"/>
    </row>
    <row r="78" spans="1:36" s="379" customFormat="1" x14ac:dyDescent="0.25">
      <c r="A78"/>
      <c r="B78" s="379" t="s">
        <v>221</v>
      </c>
      <c r="C78" s="387"/>
      <c r="D78" s="387">
        <f>-NPV('Financial Inputs'!$V$191,'Detailed Cash Flow'!F64:AJ64)</f>
        <v>469622.13836536737</v>
      </c>
      <c r="E78" s="388"/>
      <c r="F78" s="388">
        <f>-PMT((1+'Financial Inputs'!$G$42)/(1+'Financial Inputs'!$G$11)-1,'Financial Inputs'!$G$9,D78)*(1+'Financial Inputs'!$G$11)</f>
        <v>48220.566405083424</v>
      </c>
      <c r="I78" s="385"/>
      <c r="J78" s="385"/>
      <c r="K78" s="385"/>
      <c r="L78" s="385"/>
      <c r="M78" s="385"/>
      <c r="N78" s="385"/>
      <c r="O78" s="385"/>
      <c r="P78" s="385"/>
      <c r="Q78" s="385"/>
      <c r="R78" s="385"/>
      <c r="S78" s="385"/>
      <c r="T78" s="385"/>
      <c r="U78" s="385"/>
      <c r="V78" s="385"/>
      <c r="W78" s="385"/>
      <c r="X78" s="385"/>
      <c r="Y78" s="385"/>
      <c r="Z78" s="385"/>
      <c r="AA78" s="385"/>
      <c r="AB78" s="385"/>
      <c r="AC78" s="385"/>
      <c r="AD78" s="385"/>
      <c r="AE78" s="385"/>
      <c r="AF78" s="385"/>
      <c r="AG78" s="385"/>
      <c r="AH78" s="385"/>
      <c r="AI78" s="385"/>
      <c r="AJ78" s="385"/>
    </row>
    <row r="79" spans="1:36" s="379" customFormat="1" x14ac:dyDescent="0.25">
      <c r="A79"/>
      <c r="B79" s="379" t="s">
        <v>223</v>
      </c>
      <c r="C79" s="387"/>
      <c r="D79" s="388">
        <f>SUM(D74:D78)</f>
        <v>480744.53075448889</v>
      </c>
      <c r="E79" s="388"/>
      <c r="F79" s="388">
        <f>SUM(F74:F78)</f>
        <v>49362.608095557916</v>
      </c>
      <c r="I79" s="385"/>
      <c r="J79" s="385"/>
      <c r="K79" s="385"/>
      <c r="L79" s="385"/>
      <c r="M79" s="385"/>
      <c r="N79" s="385"/>
      <c r="O79" s="385"/>
      <c r="P79" s="385"/>
      <c r="Q79" s="385"/>
      <c r="R79" s="385"/>
      <c r="S79" s="385"/>
      <c r="T79" s="385"/>
      <c r="U79" s="385"/>
      <c r="V79" s="385"/>
      <c r="W79" s="385"/>
      <c r="X79" s="385"/>
      <c r="Y79" s="385"/>
      <c r="Z79" s="385"/>
      <c r="AA79" s="385"/>
      <c r="AB79" s="385"/>
      <c r="AC79" s="385"/>
      <c r="AD79" s="385"/>
      <c r="AE79" s="385"/>
      <c r="AF79" s="385"/>
      <c r="AG79" s="385"/>
      <c r="AH79" s="385"/>
      <c r="AI79" s="385"/>
      <c r="AJ79" s="385"/>
    </row>
    <row r="80" spans="1:36" s="379" customFormat="1" x14ac:dyDescent="0.25">
      <c r="A80"/>
      <c r="B80" s="379" t="s">
        <v>224</v>
      </c>
      <c r="C80" s="387"/>
      <c r="D80" s="388">
        <f>NPV('Financial Inputs'!$V$191,'Detailed Cash Flow'!F66:AJ66)</f>
        <v>652258.26619721949</v>
      </c>
      <c r="E80" s="388"/>
      <c r="F80" s="388">
        <f>-PMT('Financial Inputs'!$V$191,'Financial Inputs'!$G$9,D80)</f>
        <v>76614.011202316717</v>
      </c>
      <c r="G80" s="384"/>
      <c r="I80" s="385"/>
      <c r="J80" s="385"/>
      <c r="K80" s="385"/>
      <c r="L80" s="385"/>
      <c r="M80" s="385"/>
      <c r="N80" s="385"/>
      <c r="O80" s="385"/>
      <c r="P80" s="385"/>
      <c r="Q80" s="385"/>
      <c r="R80" s="385"/>
      <c r="S80" s="385"/>
      <c r="T80" s="385"/>
      <c r="U80" s="385"/>
      <c r="V80" s="385"/>
      <c r="W80" s="385"/>
      <c r="X80" s="385"/>
      <c r="Y80" s="385"/>
      <c r="Z80" s="385"/>
      <c r="AA80" s="385"/>
      <c r="AB80" s="385"/>
      <c r="AC80" s="385"/>
      <c r="AD80" s="385"/>
      <c r="AE80" s="385"/>
      <c r="AF80" s="385"/>
      <c r="AG80" s="385"/>
      <c r="AH80" s="385"/>
      <c r="AI80" s="385"/>
      <c r="AJ80" s="385"/>
    </row>
    <row r="81" spans="1:36" s="379" customFormat="1" x14ac:dyDescent="0.25">
      <c r="A81"/>
      <c r="B81"/>
      <c r="C81"/>
      <c r="D81" s="386"/>
      <c r="E81" s="384"/>
      <c r="F81" s="384"/>
      <c r="G81" s="385"/>
      <c r="H81" s="385"/>
      <c r="I81" s="385"/>
      <c r="J81" s="385"/>
      <c r="K81" s="385"/>
      <c r="L81" s="385"/>
      <c r="M81" s="385"/>
      <c r="N81" s="385"/>
      <c r="O81" s="385"/>
      <c r="P81" s="385"/>
      <c r="Q81" s="385"/>
      <c r="R81" s="385"/>
      <c r="S81" s="385"/>
      <c r="T81" s="385"/>
      <c r="U81" s="385"/>
      <c r="V81" s="385"/>
      <c r="W81" s="385"/>
      <c r="X81" s="385"/>
      <c r="Y81" s="385"/>
      <c r="Z81" s="385"/>
      <c r="AA81" s="385"/>
      <c r="AB81" s="385"/>
      <c r="AC81" s="385"/>
      <c r="AD81" s="385"/>
      <c r="AE81" s="385"/>
      <c r="AF81" s="385"/>
      <c r="AG81" s="385"/>
      <c r="AH81" s="385"/>
      <c r="AI81" s="385"/>
      <c r="AJ81" s="385"/>
    </row>
    <row r="82" spans="1:36" s="1" customFormat="1" ht="15.75" x14ac:dyDescent="0.25">
      <c r="B82" s="31"/>
      <c r="C82" s="31"/>
      <c r="D82" s="31"/>
      <c r="E82" s="32"/>
      <c r="F82" s="32"/>
      <c r="G82" s="33"/>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row>
    <row r="83" spans="1:36" s="1" customFormat="1" x14ac:dyDescent="0.2">
      <c r="B83" s="34" t="s">
        <v>44</v>
      </c>
      <c r="C83" s="34"/>
      <c r="D83" s="34"/>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row>
    <row r="84" spans="1:36" s="1" customFormat="1" ht="15.75" thickBot="1" x14ac:dyDescent="0.25">
      <c r="B84" s="53"/>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c r="AH84" s="53"/>
      <c r="AI84" s="53"/>
      <c r="AJ84" s="53"/>
    </row>
    <row r="85" spans="1:36" s="1" customFormat="1" x14ac:dyDescent="0.2"/>
    <row r="86" spans="1:36" s="1" customFormat="1" ht="15.75" x14ac:dyDescent="0.25">
      <c r="B86" t="s">
        <v>504</v>
      </c>
      <c r="D86"/>
      <c r="E86"/>
      <c r="F86"/>
      <c r="G86"/>
      <c r="H86"/>
      <c r="I86"/>
      <c r="J86"/>
      <c r="K86"/>
      <c r="L86"/>
      <c r="M86"/>
      <c r="N86"/>
      <c r="O86"/>
      <c r="P86"/>
      <c r="Q86"/>
      <c r="R86" s="396"/>
      <c r="S86"/>
      <c r="T86"/>
      <c r="U86"/>
      <c r="V86"/>
      <c r="W86"/>
      <c r="X86"/>
      <c r="Y86"/>
      <c r="Z86"/>
      <c r="AA86"/>
      <c r="AB86"/>
      <c r="AC86"/>
      <c r="AD86"/>
      <c r="AE86"/>
      <c r="AF86"/>
      <c r="AG86"/>
      <c r="AH86"/>
    </row>
    <row r="87" spans="1:36" s="1" customFormat="1" ht="15.75" x14ac:dyDescent="0.25">
      <c r="B87" s="440" t="s">
        <v>537</v>
      </c>
      <c r="C87" s="397">
        <f>Switchgrass_Budget!G58</f>
        <v>0</v>
      </c>
      <c r="D87"/>
      <c r="E87"/>
      <c r="F87"/>
      <c r="G87"/>
      <c r="H87"/>
      <c r="I87"/>
      <c r="J87"/>
      <c r="K87"/>
      <c r="L87"/>
      <c r="M87"/>
      <c r="N87"/>
      <c r="O87"/>
      <c r="P87"/>
      <c r="Q87"/>
      <c r="R87"/>
      <c r="S87"/>
      <c r="T87"/>
      <c r="U87"/>
      <c r="V87"/>
      <c r="W87"/>
      <c r="X87"/>
      <c r="Y87"/>
      <c r="Z87"/>
      <c r="AA87"/>
      <c r="AB87"/>
      <c r="AC87"/>
      <c r="AD87"/>
      <c r="AE87"/>
      <c r="AF87"/>
      <c r="AG87"/>
      <c r="AH87"/>
    </row>
    <row r="88" spans="1:36" s="1" customFormat="1" ht="15.75" x14ac:dyDescent="0.25">
      <c r="B88" s="395" t="s">
        <v>534</v>
      </c>
      <c r="F88" s="567">
        <f>SUM(G88:AJ88)</f>
        <v>4090.6983333333337</v>
      </c>
      <c r="G88" s="388">
        <f>IF($C$87=0,Switchgrass_Budget!$L$51,Switchgrass_Budget!$H$51)</f>
        <v>399.86650000000003</v>
      </c>
      <c r="H88" s="388">
        <f>IF($C$87=0,Switchgrass_Budget!$P$51,Switchgrass_Budget!$L$51)</f>
        <v>319.79316666666665</v>
      </c>
      <c r="I88" s="388">
        <f>IF($C$87=0,IF(I2&lt;=Switchgrass_Key_Inputs!$D$24,Switchgrass_Budget!$R$51,0),Switchgrass_Budget!$P$51)</f>
        <v>421.37983333333329</v>
      </c>
      <c r="J88" s="388">
        <f>IF($C$87=0,IF(J2&lt;=Switchgrass_Key_Inputs!$D$24,Switchgrass_Budget!$R$51,0),IF(J2&lt;=Switchgrass_Key_Inputs!$D$24+1,Switchgrass_Budget!$R$51,0))</f>
        <v>421.37983333333329</v>
      </c>
      <c r="K88" s="388">
        <f>IF($C$87=0,IF(K2&lt;=Switchgrass_Key_Inputs!$D$24,Switchgrass_Budget!$R$51,0),IF(K2&lt;=Switchgrass_Key_Inputs!$D$24+1,Switchgrass_Budget!$R$51,0))</f>
        <v>421.37983333333329</v>
      </c>
      <c r="L88" s="388">
        <f>IF($C$87=0,IF(L2&lt;=Switchgrass_Key_Inputs!$D$24,Switchgrass_Budget!$R$51,0),IF(L2&lt;=Switchgrass_Key_Inputs!$D$24+1,Switchgrass_Budget!$R$51,0))</f>
        <v>421.37983333333329</v>
      </c>
      <c r="M88" s="388">
        <f>IF($C$87=0,IF(M2&lt;=Switchgrass_Key_Inputs!$D$24,Switchgrass_Budget!$R$51,0),IF(M2&lt;=Switchgrass_Key_Inputs!$D$24+1,Switchgrass_Budget!$R$51,0))</f>
        <v>421.37983333333329</v>
      </c>
      <c r="N88" s="388">
        <f>IF($C$87=0,IF(N2&lt;=Switchgrass_Key_Inputs!$D$24,Switchgrass_Budget!$R$51,0),IF(N2&lt;=Switchgrass_Key_Inputs!$D$24+1,Switchgrass_Budget!$R$51,0))</f>
        <v>421.37983333333329</v>
      </c>
      <c r="O88" s="388">
        <f>IF($C$87=0,IF(O2&lt;=Switchgrass_Key_Inputs!$D$24,Switchgrass_Budget!$R$51,0),IF(O2&lt;=Switchgrass_Key_Inputs!$D$24+1,Switchgrass_Budget!$R$51,0))</f>
        <v>421.37983333333329</v>
      </c>
      <c r="P88" s="388">
        <f>IF($C$87=0,IF(P2&lt;=Switchgrass_Key_Inputs!$D$24,Switchgrass_Budget!$R$51,0),IF(P2&lt;=Switchgrass_Key_Inputs!$D$24+1,Switchgrass_Budget!$R$51,0))</f>
        <v>421.37983333333329</v>
      </c>
      <c r="Q88" s="388">
        <f>IF($C$87=0,IF(Q2&lt;=Switchgrass_Key_Inputs!$D$24,Switchgrass_Budget!$R$51,0),IF(Q2&lt;=Switchgrass_Key_Inputs!$D$24+1,Switchgrass_Budget!$R$51,0))</f>
        <v>0</v>
      </c>
      <c r="R88" s="388">
        <f>IF($C$87=0,IF(R2&lt;=Switchgrass_Key_Inputs!$D$24,Switchgrass_Budget!$R$51,0),IF(R2&lt;=Switchgrass_Key_Inputs!$D$24+1,Switchgrass_Budget!$R$51,0))</f>
        <v>0</v>
      </c>
      <c r="S88" s="388">
        <f>IF($C$87=0,IF(S2&lt;=Switchgrass_Key_Inputs!$D$24,Switchgrass_Budget!$R$51,0),IF(S2&lt;=Switchgrass_Key_Inputs!$D$24+1,Switchgrass_Budget!$R$51,0))</f>
        <v>0</v>
      </c>
      <c r="T88" s="388">
        <f>IF($C$87=0,IF(T2&lt;=Switchgrass_Key_Inputs!$D$24,Switchgrass_Budget!$R$51,0),IF(T2&lt;=Switchgrass_Key_Inputs!$D$24+1,Switchgrass_Budget!$R$51,0))</f>
        <v>0</v>
      </c>
      <c r="U88" s="388">
        <f>IF($C$87=0,IF(U2&lt;=Switchgrass_Key_Inputs!$D$24,Switchgrass_Budget!$R$51,0),IF(U2&lt;=Switchgrass_Key_Inputs!$D$24+1,Switchgrass_Budget!$R$51,0))</f>
        <v>0</v>
      </c>
      <c r="V88" s="388">
        <f>IF($C$87=0,IF(V2&lt;=Switchgrass_Key_Inputs!$D$24,Switchgrass_Budget!$R$51,0),IF(V2&lt;=Switchgrass_Key_Inputs!$D$24+1,Switchgrass_Budget!$R$51,0))</f>
        <v>0</v>
      </c>
      <c r="W88" s="388">
        <f>IF($C$87=0,IF(W2&lt;=Switchgrass_Key_Inputs!$D$24,Switchgrass_Budget!$R$51,0),IF(W2&lt;=Switchgrass_Key_Inputs!$D$24+1,Switchgrass_Budget!$R$51,0))</f>
        <v>0</v>
      </c>
      <c r="X88" s="388">
        <f>IF($C$87=0,IF(X2&lt;=Switchgrass_Key_Inputs!$D$24,Switchgrass_Budget!$R$51,0),IF(X2&lt;=Switchgrass_Key_Inputs!$D$24+1,Switchgrass_Budget!$R$51,0))</f>
        <v>0</v>
      </c>
      <c r="Y88" s="388">
        <f>IF($C$87=0,IF(Y2&lt;=Switchgrass_Key_Inputs!$D$24,Switchgrass_Budget!$R$51,0),IF(Y2&lt;=Switchgrass_Key_Inputs!$D$24+1,Switchgrass_Budget!$R$51,0))</f>
        <v>0</v>
      </c>
      <c r="Z88" s="388">
        <f>IF($C$87=0,IF(Z2&lt;=Switchgrass_Key_Inputs!$D$24,Switchgrass_Budget!$R$51,0),IF(Z2&lt;=Switchgrass_Key_Inputs!$D$24+1,Switchgrass_Budget!$R$51,0))</f>
        <v>0</v>
      </c>
      <c r="AA88" s="388">
        <f>IF($C$87=0,IF(AA2&lt;=Switchgrass_Key_Inputs!$D$24,Switchgrass_Budget!$R$51,0),IF(AA2&lt;=Switchgrass_Key_Inputs!$D$24+1,Switchgrass_Budget!$R$51,0))</f>
        <v>0</v>
      </c>
      <c r="AB88" s="388">
        <f>IF($C$87=0,IF(AB2&lt;=Switchgrass_Key_Inputs!$D$24,Switchgrass_Budget!$R$51,0),IF(AB2&lt;=Switchgrass_Key_Inputs!$D$24+1,Switchgrass_Budget!$R$51,0))</f>
        <v>0</v>
      </c>
      <c r="AC88" s="388">
        <f>IF($C$87=0,IF(AC2&lt;=Switchgrass_Key_Inputs!$D$24,Switchgrass_Budget!$R$51,0),IF(AC2&lt;=Switchgrass_Key_Inputs!$D$24+1,Switchgrass_Budget!$R$51,0))</f>
        <v>0</v>
      </c>
      <c r="AD88" s="388">
        <f>IF($C$87=0,IF(AD2&lt;=Switchgrass_Key_Inputs!$D$24,Switchgrass_Budget!$R$51,0),IF(AD2&lt;=Switchgrass_Key_Inputs!$D$24+1,Switchgrass_Budget!$R$51,0))</f>
        <v>0</v>
      </c>
      <c r="AE88" s="388">
        <f>IF($C$87=0,IF(AE2&lt;=Switchgrass_Key_Inputs!$D$24,Switchgrass_Budget!$R$51,0),IF(AE2&lt;=Switchgrass_Key_Inputs!$D$24+1,Switchgrass_Budget!$R$51,0))</f>
        <v>0</v>
      </c>
      <c r="AF88" s="388">
        <f>IF($C$87=0,IF(AF2&lt;=Switchgrass_Key_Inputs!$D$24,Switchgrass_Budget!$R$51,0),IF(AF2&lt;=Switchgrass_Key_Inputs!$D$24+1,Switchgrass_Budget!$R$51,0))</f>
        <v>0</v>
      </c>
      <c r="AG88" s="388">
        <f>IF($C$87=0,IF(AG2&lt;=Switchgrass_Key_Inputs!$D$24,Switchgrass_Budget!$R$51,0),IF(AG2&lt;=Switchgrass_Key_Inputs!$D$24+1,Switchgrass_Budget!$R$51,0))</f>
        <v>0</v>
      </c>
      <c r="AH88" s="388">
        <f>IF($C$87=0,IF(AH2&lt;=Switchgrass_Key_Inputs!$D$24,Switchgrass_Budget!$R$51,0),IF(AH2&lt;=Switchgrass_Key_Inputs!$D$24+1,Switchgrass_Budget!$R$51,0))</f>
        <v>0</v>
      </c>
      <c r="AI88" s="388">
        <f>IF($C$87=0,IF(AI2&lt;=Switchgrass_Key_Inputs!$D$24,Switchgrass_Budget!$R$51,0),IF(AI2&lt;=Switchgrass_Key_Inputs!$D$24+1,Switchgrass_Budget!$R$51,0))</f>
        <v>0</v>
      </c>
      <c r="AJ88" s="388">
        <f>IF($C$87=0,IF(AJ2&lt;=Switchgrass_Key_Inputs!$D$24,Switchgrass_Budget!$R$51,0),IF(AJ2&lt;=Switchgrass_Key_Inputs!$D$24+1,Switchgrass_Budget!$R$51,0))</f>
        <v>0</v>
      </c>
    </row>
    <row r="89" spans="1:36" s="1" customFormat="1" ht="15.75" x14ac:dyDescent="0.25">
      <c r="B89" s="395" t="s">
        <v>538</v>
      </c>
      <c r="F89" s="567">
        <f>SUM(G89:AJ89)</f>
        <v>2862.8576910288475</v>
      </c>
      <c r="G89" s="388">
        <f>G88/(1+Switchgrass_Budget!$D$54)^(G2-1)</f>
        <v>399.86650000000003</v>
      </c>
      <c r="H89" s="388">
        <f>H88/(1+Switchgrass_Budget!$D$54)^(H2-1)</f>
        <v>294.17358881662659</v>
      </c>
      <c r="I89" s="388">
        <f>I88/(1+Switchgrass_Budget!$D$54)^(I2-1)</f>
        <v>356.56831237881988</v>
      </c>
      <c r="J89" s="388">
        <f>J88/(1+Switchgrass_Budget!$D$54)^(J2-1)</f>
        <v>328.00256867308121</v>
      </c>
      <c r="K89" s="388">
        <f>K88/(1+Switchgrass_Budget!$D$54)^(K2-1)</f>
        <v>301.72531131100573</v>
      </c>
      <c r="L89" s="388">
        <f>L88/(1+Switchgrass_Budget!$D$54)^(L2-1)</f>
        <v>277.55320287281245</v>
      </c>
      <c r="M89" s="388">
        <f>M88/(1+Switchgrass_Budget!$D$54)^(M2-1)</f>
        <v>255.31759364248813</v>
      </c>
      <c r="N89" s="388">
        <f>N88/(1+Switchgrass_Budget!$D$54)^(N2-1)</f>
        <v>234.86334493233133</v>
      </c>
      <c r="O89" s="388">
        <f>O88/(1+Switchgrass_Budget!$D$54)^(O2-1)</f>
        <v>216.04774667445321</v>
      </c>
      <c r="P89" s="388">
        <f>P88/(1+Switchgrass_Budget!$D$54)^(P2-1)</f>
        <v>198.73952172722881</v>
      </c>
      <c r="Q89" s="388">
        <f>Q88/(1+Switchgrass_Budget!$D$54)^(Q2-1)</f>
        <v>0</v>
      </c>
      <c r="R89" s="388">
        <f>R88/(1+Switchgrass_Budget!$D$54)^(R2-1)</f>
        <v>0</v>
      </c>
      <c r="S89" s="388">
        <f>S88/(1+Switchgrass_Budget!$D$54)^(S2-1)</f>
        <v>0</v>
      </c>
      <c r="T89" s="388">
        <f>T88/(1+Switchgrass_Budget!$D$54)^(T2-1)</f>
        <v>0</v>
      </c>
      <c r="U89" s="388">
        <f>U88/(1+Switchgrass_Budget!$D$54)^(U2-1)</f>
        <v>0</v>
      </c>
      <c r="V89" s="388">
        <f>V88/(1+Switchgrass_Budget!$D$54)^(V2-1)</f>
        <v>0</v>
      </c>
      <c r="W89" s="388">
        <f>W88/(1+Switchgrass_Budget!$D$54)^(W2-1)</f>
        <v>0</v>
      </c>
      <c r="X89" s="388">
        <f>X88/(1+Switchgrass_Budget!$D$54)^(X2-1)</f>
        <v>0</v>
      </c>
      <c r="Y89" s="388">
        <f>Y88/(1+Switchgrass_Budget!$D$54)^(Y2-1)</f>
        <v>0</v>
      </c>
      <c r="Z89" s="388">
        <f>Z88/(1+Switchgrass_Budget!$D$54)^(Z2-1)</f>
        <v>0</v>
      </c>
      <c r="AA89" s="388">
        <f>AA88/(1+Switchgrass_Budget!$D$54)^(AA2-1)</f>
        <v>0</v>
      </c>
      <c r="AB89" s="388">
        <f>AB88/(1+Switchgrass_Budget!$D$54)^(AB2-1)</f>
        <v>0</v>
      </c>
      <c r="AC89" s="388">
        <f>AC88/(1+Switchgrass_Budget!$D$54)^(AC2-1)</f>
        <v>0</v>
      </c>
      <c r="AD89" s="388">
        <f>AD88/(1+Switchgrass_Budget!$D$54)^(AD2-1)</f>
        <v>0</v>
      </c>
      <c r="AE89" s="388">
        <f>AE88/(1+Switchgrass_Budget!$D$54)^(AE2-1)</f>
        <v>0</v>
      </c>
      <c r="AF89" s="388">
        <f>AF88/(1+Switchgrass_Budget!$D$54)^(AF2-1)</f>
        <v>0</v>
      </c>
      <c r="AG89" s="388">
        <f>AG88/(1+Switchgrass_Budget!$D$54)^(AG2-1)</f>
        <v>0</v>
      </c>
      <c r="AH89" s="388">
        <f>AH88/(1+Switchgrass_Budget!$D$54)^(AH2-1)</f>
        <v>0</v>
      </c>
      <c r="AI89" s="388">
        <f>AI88/(1+Switchgrass_Budget!$D$54)^(AI2-1)</f>
        <v>0</v>
      </c>
      <c r="AJ89" s="388">
        <f>AJ88/(1+Switchgrass_Budget!$D$54)^(AJ2-1)</f>
        <v>0</v>
      </c>
    </row>
    <row r="90" spans="1:36" s="1" customFormat="1" ht="15.75" x14ac:dyDescent="0.25">
      <c r="B90" s="395" t="s">
        <v>505</v>
      </c>
      <c r="F90" s="585">
        <f>SUM(G90:AJ90)</f>
        <v>52.5</v>
      </c>
      <c r="G90">
        <f>IF($C$87=0,Switchgrass_Key_Inputs!$D$25,0)</f>
        <v>1.5</v>
      </c>
      <c r="H90" s="434">
        <f>IF($C$87=0,Switchgrass_Key_Inputs!$D$26,Switchgrass_Key_Inputs!$D$25)</f>
        <v>3</v>
      </c>
      <c r="I90" s="229">
        <f>IF($C$87=0,Switchgrass_Key_Inputs!$D$27,Switchgrass_Key_Inputs!$D$26)</f>
        <v>6</v>
      </c>
      <c r="J90" s="229">
        <f>IF($C$87=0,IF(J2&lt;=Switchgrass_Key_Inputs!$D$24,Switchgrass_Key_Inputs!$D$27,0),Switchgrass_Key_Inputs!$D$27)</f>
        <v>6</v>
      </c>
      <c r="K90" s="229">
        <f>IF($C$87=0,IF(K2&lt;=Switchgrass_Key_Inputs!$D$24,Switchgrass_Key_Inputs!$D$27,0),IF(K2&lt;=Switchgrass_Key_Inputs!$D$24+1,Switchgrass_Key_Inputs!$D$27,0))</f>
        <v>6</v>
      </c>
      <c r="L90" s="229">
        <f>IF($C$87=0,IF(L2&lt;=Switchgrass_Key_Inputs!$D$24,Switchgrass_Key_Inputs!$D$27,0),IF(L2&lt;=Switchgrass_Key_Inputs!$D$24+1,Switchgrass_Key_Inputs!$D$27,0))</f>
        <v>6</v>
      </c>
      <c r="M90" s="229">
        <f>IF($C$87=0,IF(M2&lt;=Switchgrass_Key_Inputs!$D$24,Switchgrass_Key_Inputs!$D$27,0),IF(M2&lt;=Switchgrass_Key_Inputs!$D$24+1,Switchgrass_Key_Inputs!$D$27,0))</f>
        <v>6</v>
      </c>
      <c r="N90" s="229">
        <f>IF($C$87=0,IF(N2&lt;=Switchgrass_Key_Inputs!$D$24,Switchgrass_Key_Inputs!$D$27,0),IF(N2&lt;=Switchgrass_Key_Inputs!$D$24+1,Switchgrass_Key_Inputs!$D$27,0))</f>
        <v>6</v>
      </c>
      <c r="O90" s="229">
        <f>IF($C$87=0,IF(O2&lt;=Switchgrass_Key_Inputs!$D$24,Switchgrass_Key_Inputs!$D$27,0),IF(O2&lt;=Switchgrass_Key_Inputs!$D$24+1,Switchgrass_Key_Inputs!$D$27,0))</f>
        <v>6</v>
      </c>
      <c r="P90" s="229">
        <f>IF($C$87=0,IF(P2&lt;=Switchgrass_Key_Inputs!$D$24,Switchgrass_Key_Inputs!$D$27,0),IF(P2&lt;=Switchgrass_Key_Inputs!$D$24+1,Switchgrass_Key_Inputs!$D$27,0))</f>
        <v>6</v>
      </c>
      <c r="Q90" s="229">
        <f>IF($C$87=0,IF(Q2&lt;=Switchgrass_Key_Inputs!$D$24,Switchgrass_Key_Inputs!$D$27,0),IF(Q2&lt;=Switchgrass_Key_Inputs!$D$24+1,Switchgrass_Key_Inputs!$D$27,0))</f>
        <v>0</v>
      </c>
      <c r="R90" s="229">
        <f>IF($C$87=0,IF(R2&lt;=Switchgrass_Key_Inputs!$D$24,Switchgrass_Key_Inputs!$D$27,0),IF(R2&lt;=Switchgrass_Key_Inputs!$D$24+1,Switchgrass_Key_Inputs!$D$27,0))</f>
        <v>0</v>
      </c>
      <c r="S90" s="229">
        <f>IF($C$87=0,IF(S2&lt;=Switchgrass_Key_Inputs!$D$24,Switchgrass_Key_Inputs!$D$27,0),IF(S2&lt;=Switchgrass_Key_Inputs!$D$24+1,Switchgrass_Key_Inputs!$D$27,0))</f>
        <v>0</v>
      </c>
      <c r="T90" s="229">
        <f>IF($C$87=0,IF(T2&lt;=Switchgrass_Key_Inputs!$D$24,Switchgrass_Key_Inputs!$D$27,0),IF(T2&lt;=Switchgrass_Key_Inputs!$D$24+1,Switchgrass_Key_Inputs!$D$27,0))</f>
        <v>0</v>
      </c>
      <c r="U90" s="229">
        <f>IF($C$87=0,IF(U2&lt;=Switchgrass_Key_Inputs!$D$24,Switchgrass_Key_Inputs!$D$27,0),IF(U2&lt;=Switchgrass_Key_Inputs!$D$24+1,Switchgrass_Key_Inputs!$D$27,0))</f>
        <v>0</v>
      </c>
      <c r="V90" s="229">
        <f>IF($C$87=0,IF(V2&lt;=Switchgrass_Key_Inputs!$D$24,Switchgrass_Key_Inputs!$D$27,0),IF(V2&lt;=Switchgrass_Key_Inputs!$D$24+1,Switchgrass_Key_Inputs!$D$27,0))</f>
        <v>0</v>
      </c>
      <c r="W90" s="229">
        <f>IF($C$87=0,IF(W2&lt;=Switchgrass_Key_Inputs!$D$24,Switchgrass_Key_Inputs!$D$27,0),IF(W2&lt;=Switchgrass_Key_Inputs!$D$24+1,Switchgrass_Key_Inputs!$D$27,0))</f>
        <v>0</v>
      </c>
      <c r="X90" s="229">
        <f>IF($C$87=0,IF(X2&lt;=Switchgrass_Key_Inputs!$D$24,Switchgrass_Key_Inputs!$D$27,0),IF(X2&lt;=Switchgrass_Key_Inputs!$D$24+1,Switchgrass_Key_Inputs!$D$27,0))</f>
        <v>0</v>
      </c>
      <c r="Y90" s="229">
        <f>IF($C$87=0,IF(Y2&lt;=Switchgrass_Key_Inputs!$D$24,Switchgrass_Key_Inputs!$D$27,0),IF(Y2&lt;=Switchgrass_Key_Inputs!$D$24+1,Switchgrass_Key_Inputs!$D$27,0))</f>
        <v>0</v>
      </c>
      <c r="Z90" s="229">
        <f>IF($C$87=0,IF(Z2&lt;=Switchgrass_Key_Inputs!$D$24,Switchgrass_Key_Inputs!$D$27,0),IF(Z2&lt;=Switchgrass_Key_Inputs!$D$24+1,Switchgrass_Key_Inputs!$D$27,0))</f>
        <v>0</v>
      </c>
      <c r="AA90" s="229">
        <f>IF($C$87=0,IF(AA2&lt;=Switchgrass_Key_Inputs!$D$24,Switchgrass_Key_Inputs!$D$27,0),IF(AA2&lt;=Switchgrass_Key_Inputs!$D$24+1,Switchgrass_Key_Inputs!$D$27,0))</f>
        <v>0</v>
      </c>
      <c r="AB90" s="229">
        <f>IF($C$87=0,IF(AB2&lt;=Switchgrass_Key_Inputs!$D$24,Switchgrass_Key_Inputs!$D$27,0),IF(AB2&lt;=Switchgrass_Key_Inputs!$D$24+1,Switchgrass_Key_Inputs!$D$27,0))</f>
        <v>0</v>
      </c>
      <c r="AC90" s="229">
        <f>IF($C$87=0,IF(AC2&lt;=Switchgrass_Key_Inputs!$D$24,Switchgrass_Key_Inputs!$D$27,0),IF(AC2&lt;=Switchgrass_Key_Inputs!$D$24+1,Switchgrass_Key_Inputs!$D$27,0))</f>
        <v>0</v>
      </c>
      <c r="AD90" s="229">
        <f>IF($C$87=0,IF(AD2&lt;=Switchgrass_Key_Inputs!$D$24,Switchgrass_Key_Inputs!$D$27,0),IF(AD2&lt;=Switchgrass_Key_Inputs!$D$24+1,Switchgrass_Key_Inputs!$D$27,0))</f>
        <v>0</v>
      </c>
      <c r="AE90" s="229">
        <f>IF($C$87=0,IF(AE2&lt;=Switchgrass_Key_Inputs!$D$24,Switchgrass_Key_Inputs!$D$27,0),IF(AE2&lt;=Switchgrass_Key_Inputs!$D$24+1,Switchgrass_Key_Inputs!$D$27,0))</f>
        <v>0</v>
      </c>
      <c r="AF90" s="229">
        <f>IF($C$87=0,IF(AF2&lt;=Switchgrass_Key_Inputs!$D$24,Switchgrass_Key_Inputs!$D$27,0),IF(AF2&lt;=Switchgrass_Key_Inputs!$D$24+1,Switchgrass_Key_Inputs!$D$27,0))</f>
        <v>0</v>
      </c>
      <c r="AG90" s="229">
        <f>IF($C$87=0,IF(AG2&lt;=Switchgrass_Key_Inputs!$D$24,Switchgrass_Key_Inputs!$D$27,0),IF(AG2&lt;=Switchgrass_Key_Inputs!$D$24+1,Switchgrass_Key_Inputs!$D$27,0))</f>
        <v>0</v>
      </c>
      <c r="AH90" s="229">
        <f>IF($C$87=0,IF(AH2&lt;=Switchgrass_Key_Inputs!$D$24,Switchgrass_Key_Inputs!$D$27,0),IF(AH2&lt;=Switchgrass_Key_Inputs!$D$24+1,Switchgrass_Key_Inputs!$D$27,0))</f>
        <v>0</v>
      </c>
      <c r="AI90" s="229">
        <f>IF($C$87=0,IF(AI2&lt;=Switchgrass_Key_Inputs!$D$24,Switchgrass_Key_Inputs!$D$27,0),IF(AI2&lt;=Switchgrass_Key_Inputs!$D$24+1,Switchgrass_Key_Inputs!$D$27,0))</f>
        <v>0</v>
      </c>
      <c r="AJ90" s="229">
        <f>IF($C$87=0,IF(AJ2&lt;=Switchgrass_Key_Inputs!$D$24,Switchgrass_Key_Inputs!$D$27,0),IF(AJ2&lt;=Switchgrass_Key_Inputs!$D$24+1,Switchgrass_Key_Inputs!$D$27,0))</f>
        <v>0</v>
      </c>
    </row>
    <row r="91" spans="1:36" s="589" customFormat="1" ht="15.75" x14ac:dyDescent="0.25">
      <c r="B91" s="585" t="s">
        <v>506</v>
      </c>
      <c r="F91" s="585">
        <f>SUM(G91:AJ91)</f>
        <v>35.141313684253205</v>
      </c>
      <c r="G91" s="416">
        <f>G90/(1+Switchgrass_Budget!$D$54)^(G2-1)</f>
        <v>1.5</v>
      </c>
      <c r="H91" s="416">
        <f>H90/(1+Switchgrass_Budget!$D$54)^(H2-1)</f>
        <v>2.7596611136152478</v>
      </c>
      <c r="I91" s="416">
        <f>I90/(1+Switchgrass_Budget!$D$54)^(I2-1)</f>
        <v>5.0771529746667659</v>
      </c>
      <c r="J91" s="416">
        <f>J90/(1+Switchgrass_Budget!$D$54)^(J2-1)</f>
        <v>4.6704072106879515</v>
      </c>
      <c r="K91" s="416">
        <f>K90/(1+Switchgrass_Budget!$D$54)^(K2-1)</f>
        <v>4.2962470546945992</v>
      </c>
      <c r="L91" s="416">
        <f>L90/(1+Switchgrass_Budget!$D$54)^(L2-1)</f>
        <v>3.9520619771082419</v>
      </c>
      <c r="M91" s="416">
        <f>M90/(1+Switchgrass_Budget!$D$54)^(M2-1)</f>
        <v>3.6354505856076695</v>
      </c>
      <c r="N91" s="416">
        <f>N90/(1+Switchgrass_Budget!$D$54)^(N2-1)</f>
        <v>3.3442038705237551</v>
      </c>
      <c r="O91" s="416">
        <f>O90/(1+Switchgrass_Budget!$D$54)^(O2-1)</f>
        <v>3.0762897924953361</v>
      </c>
      <c r="P91" s="416">
        <f>P90/(1+Switchgrass_Budget!$D$54)^(P2-1)</f>
        <v>2.8298391048536327</v>
      </c>
      <c r="Q91" s="416">
        <f>Q90/(1+Switchgrass_Budget!$D$54)^(Q2-1)</f>
        <v>0</v>
      </c>
      <c r="R91" s="416">
        <f>R90/(1+Switchgrass_Budget!$D$54)^(R2-1)</f>
        <v>0</v>
      </c>
      <c r="S91" s="416">
        <f>S90/(1+Switchgrass_Budget!$D$54)^(S2-1)</f>
        <v>0</v>
      </c>
      <c r="T91" s="416">
        <f>T90/(1+Switchgrass_Budget!$D$54)^(T2-1)</f>
        <v>0</v>
      </c>
      <c r="U91" s="416">
        <f>U90/(1+Switchgrass_Budget!$D$54)^(U2-1)</f>
        <v>0</v>
      </c>
      <c r="V91" s="416">
        <f>V90/(1+Switchgrass_Budget!$D$54)^(V2-1)</f>
        <v>0</v>
      </c>
      <c r="W91" s="416">
        <f>W90/(1+Switchgrass_Budget!$D$54)^(W2-1)</f>
        <v>0</v>
      </c>
      <c r="X91" s="416">
        <f>X90/(1+Switchgrass_Budget!$D$54)^(X2-1)</f>
        <v>0</v>
      </c>
      <c r="Y91" s="416">
        <f>Y90/(1+Switchgrass_Budget!$D$54)^(Y2-1)</f>
        <v>0</v>
      </c>
      <c r="Z91" s="416">
        <f>Z90/(1+Switchgrass_Budget!$D$54)^(Z2-1)</f>
        <v>0</v>
      </c>
      <c r="AA91" s="416">
        <f>AA90/(1+Switchgrass_Budget!$D$54)^(AA2-1)</f>
        <v>0</v>
      </c>
      <c r="AB91" s="416">
        <f>AB90/(1+Switchgrass_Budget!$D$54)^(AB2-1)</f>
        <v>0</v>
      </c>
      <c r="AC91" s="416">
        <f>AC90/(1+Switchgrass_Budget!$D$54)^(AC2-1)</f>
        <v>0</v>
      </c>
      <c r="AD91" s="416">
        <f>AD90/(1+Switchgrass_Budget!$D$54)^(AD2-1)</f>
        <v>0</v>
      </c>
      <c r="AE91" s="416">
        <f>AE90/(1+Switchgrass_Budget!$D$54)^(AE2-1)</f>
        <v>0</v>
      </c>
      <c r="AF91" s="416">
        <f>AF90/(1+Switchgrass_Budget!$D$54)^(AF2-1)</f>
        <v>0</v>
      </c>
      <c r="AG91" s="416">
        <f>AG90/(1+Switchgrass_Budget!$D$54)^(AG2-1)</f>
        <v>0</v>
      </c>
      <c r="AH91" s="416">
        <f>AH90/(1+Switchgrass_Budget!$D$54)^(AH2-1)</f>
        <v>0</v>
      </c>
      <c r="AI91" s="416">
        <f>AI90/(1+Switchgrass_Budget!$D$54)^(AI2-1)</f>
        <v>0</v>
      </c>
      <c r="AJ91" s="416">
        <f>AJ90/(1+Switchgrass_Budget!$D$54)^(AJ2-1)</f>
        <v>0</v>
      </c>
    </row>
    <row r="92" spans="1:36" s="1" customFormat="1" ht="15.75" x14ac:dyDescent="0.25">
      <c r="B92"/>
      <c r="F92" s="420" t="s">
        <v>536</v>
      </c>
      <c r="G92" s="396">
        <f>IF(G2&lt;='Financial Inputs'!$G$9,IF(MOD(G2,Switchgrass_Key_Inputs!$D$24)=0,Switchgrass_Key_Inputs!$D$24,MOD(G2,Switchgrass_Key_Inputs!$D$24)),0)</f>
        <v>1</v>
      </c>
      <c r="H92" s="396">
        <f>IF(H2&lt;='Financial Inputs'!$G$9,IF(MOD(H2,Switchgrass_Key_Inputs!$D$24)=0,Switchgrass_Key_Inputs!$D$24,MOD(H2,Switchgrass_Key_Inputs!$D$24)),0)</f>
        <v>2</v>
      </c>
      <c r="I92" s="396">
        <f>IF(I2&lt;='Financial Inputs'!$G$9,IF(MOD(I2,Switchgrass_Key_Inputs!$D$24)=0,Switchgrass_Key_Inputs!$D$24,MOD(I2,Switchgrass_Key_Inputs!$D$24)),0)</f>
        <v>3</v>
      </c>
      <c r="J92" s="396">
        <f>IF(J2&lt;='Financial Inputs'!$G$9,IF(MOD(J2,Switchgrass_Key_Inputs!$D$24)=0,Switchgrass_Key_Inputs!$D$24,MOD(J2,Switchgrass_Key_Inputs!$D$24)),0)</f>
        <v>4</v>
      </c>
      <c r="K92" s="396">
        <f>IF(K2&lt;='Financial Inputs'!$G$9,IF(MOD(K2,Switchgrass_Key_Inputs!$D$24)=0,Switchgrass_Key_Inputs!$D$24,MOD(K2,Switchgrass_Key_Inputs!$D$24)),0)</f>
        <v>5</v>
      </c>
      <c r="L92" s="396">
        <f>IF(L2&lt;='Financial Inputs'!$G$9,IF(MOD(L2,Switchgrass_Key_Inputs!$D$24)=0,Switchgrass_Key_Inputs!$D$24,MOD(L2,Switchgrass_Key_Inputs!$D$24)),0)</f>
        <v>6</v>
      </c>
      <c r="M92" s="396">
        <f>IF(M2&lt;='Financial Inputs'!$G$9,IF(MOD(M2,Switchgrass_Key_Inputs!$D$24)=0,Switchgrass_Key_Inputs!$D$24,MOD(M2,Switchgrass_Key_Inputs!$D$24)),0)</f>
        <v>7</v>
      </c>
      <c r="N92" s="396">
        <f>IF(N2&lt;='Financial Inputs'!$G$9,IF(MOD(N2,Switchgrass_Key_Inputs!$D$24)=0,Switchgrass_Key_Inputs!$D$24,MOD(N2,Switchgrass_Key_Inputs!$D$24)),0)</f>
        <v>8</v>
      </c>
      <c r="O92" s="396">
        <f>IF(O2&lt;='Financial Inputs'!$G$9,IF(MOD(O2,Switchgrass_Key_Inputs!$D$24)=0,Switchgrass_Key_Inputs!$D$24,MOD(O2,Switchgrass_Key_Inputs!$D$24)),0)</f>
        <v>9</v>
      </c>
      <c r="P92" s="396">
        <f>IF(P2&lt;='Financial Inputs'!$G$9,IF(MOD(P2,Switchgrass_Key_Inputs!$D$24)=0,Switchgrass_Key_Inputs!$D$24,MOD(P2,Switchgrass_Key_Inputs!$D$24)),0)</f>
        <v>10</v>
      </c>
      <c r="Q92" s="396">
        <f>IF(Q2&lt;='Financial Inputs'!$G$9,IF(MOD(Q2,Switchgrass_Key_Inputs!$D$24)=0,Switchgrass_Key_Inputs!$D$24,MOD(Q2,Switchgrass_Key_Inputs!$D$24)),0)</f>
        <v>1</v>
      </c>
      <c r="R92" s="396">
        <f>IF(R2&lt;='Financial Inputs'!$G$9,IF(MOD(R2,Switchgrass_Key_Inputs!$D$24)=0,Switchgrass_Key_Inputs!$D$24,MOD(R2,Switchgrass_Key_Inputs!$D$24)),0)</f>
        <v>2</v>
      </c>
      <c r="S92" s="396">
        <f>IF(S2&lt;='Financial Inputs'!$G$9,IF(MOD(S2,Switchgrass_Key_Inputs!$D$24)=0,Switchgrass_Key_Inputs!$D$24,MOD(S2,Switchgrass_Key_Inputs!$D$24)),0)</f>
        <v>3</v>
      </c>
      <c r="T92" s="396">
        <f>IF(T2&lt;='Financial Inputs'!$G$9,IF(MOD(T2,Switchgrass_Key_Inputs!$D$24)=0,Switchgrass_Key_Inputs!$D$24,MOD(T2,Switchgrass_Key_Inputs!$D$24)),0)</f>
        <v>4</v>
      </c>
      <c r="U92" s="396">
        <f>IF(U2&lt;='Financial Inputs'!$G$9,IF(MOD(U2,Switchgrass_Key_Inputs!$D$24)=0,Switchgrass_Key_Inputs!$D$24,MOD(U2,Switchgrass_Key_Inputs!$D$24)),0)</f>
        <v>5</v>
      </c>
      <c r="V92" s="396">
        <f>IF(V2&lt;='Financial Inputs'!$G$9,IF(MOD(V2,Switchgrass_Key_Inputs!$D$24)=0,Switchgrass_Key_Inputs!$D$24,MOD(V2,Switchgrass_Key_Inputs!$D$24)),0)</f>
        <v>6</v>
      </c>
      <c r="W92" s="396">
        <f>IF(W2&lt;='Financial Inputs'!$G$9,IF(MOD(W2,Switchgrass_Key_Inputs!$D$24)=0,Switchgrass_Key_Inputs!$D$24,MOD(W2,Switchgrass_Key_Inputs!$D$24)),0)</f>
        <v>7</v>
      </c>
      <c r="X92" s="396">
        <f>IF(X2&lt;='Financial Inputs'!$G$9,IF(MOD(X2,Switchgrass_Key_Inputs!$D$24)=0,Switchgrass_Key_Inputs!$D$24,MOD(X2,Switchgrass_Key_Inputs!$D$24)),0)</f>
        <v>8</v>
      </c>
      <c r="Y92" s="396">
        <f>IF(Y2&lt;='Financial Inputs'!$G$9,IF(MOD(Y2,Switchgrass_Key_Inputs!$D$24)=0,Switchgrass_Key_Inputs!$D$24,MOD(Y2,Switchgrass_Key_Inputs!$D$24)),0)</f>
        <v>9</v>
      </c>
      <c r="Z92" s="396">
        <f>IF(Z2&lt;='Financial Inputs'!$G$9,IF(MOD(Z2,Switchgrass_Key_Inputs!$D$24)=0,Switchgrass_Key_Inputs!$D$24,MOD(Z2,Switchgrass_Key_Inputs!$D$24)),0)</f>
        <v>10</v>
      </c>
      <c r="AA92" s="396">
        <f>IF(AA2&lt;='Financial Inputs'!$G$9,IF(MOD(AA2,Switchgrass_Key_Inputs!$D$24)=0,Switchgrass_Key_Inputs!$D$24,MOD(AA2,Switchgrass_Key_Inputs!$D$24)),0)</f>
        <v>0</v>
      </c>
      <c r="AB92" s="396">
        <f>IF(AB2&lt;='Financial Inputs'!$G$9,IF(MOD(AB2,Switchgrass_Key_Inputs!$D$24)=0,Switchgrass_Key_Inputs!$D$24,MOD(AB2,Switchgrass_Key_Inputs!$D$24)),0)</f>
        <v>0</v>
      </c>
      <c r="AC92" s="396">
        <f>IF(AC2&lt;='Financial Inputs'!$G$9,IF(MOD(AC2,Switchgrass_Key_Inputs!$D$24)=0,Switchgrass_Key_Inputs!$D$24,MOD(AC2,Switchgrass_Key_Inputs!$D$24)),0)</f>
        <v>0</v>
      </c>
      <c r="AD92" s="396">
        <f>IF(AD2&lt;='Financial Inputs'!$G$9,IF(MOD(AD2,Switchgrass_Key_Inputs!$D$24)=0,Switchgrass_Key_Inputs!$D$24,MOD(AD2,Switchgrass_Key_Inputs!$D$24)),0)</f>
        <v>0</v>
      </c>
      <c r="AE92" s="396">
        <f>IF(AE2&lt;='Financial Inputs'!$G$9,IF(MOD(AE2,Switchgrass_Key_Inputs!$D$24)=0,Switchgrass_Key_Inputs!$D$24,MOD(AE2,Switchgrass_Key_Inputs!$D$24)),0)</f>
        <v>0</v>
      </c>
      <c r="AF92" s="396">
        <f>IF(AF2&lt;='Financial Inputs'!$G$9,IF(MOD(AF2,Switchgrass_Key_Inputs!$D$24)=0,Switchgrass_Key_Inputs!$D$24,MOD(AF2,Switchgrass_Key_Inputs!$D$24)),0)</f>
        <v>0</v>
      </c>
      <c r="AG92" s="396">
        <f>IF(AG2&lt;='Financial Inputs'!$G$9,IF(MOD(AG2,Switchgrass_Key_Inputs!$D$24)=0,Switchgrass_Key_Inputs!$D$24,MOD(AG2,Switchgrass_Key_Inputs!$D$24)),0)</f>
        <v>0</v>
      </c>
      <c r="AH92" s="396">
        <f>IF(AH2&lt;='Financial Inputs'!$G$9,IF(MOD(AH2,Switchgrass_Key_Inputs!$D$24)=0,Switchgrass_Key_Inputs!$D$24,MOD(AH2,Switchgrass_Key_Inputs!$D$24)),0)</f>
        <v>0</v>
      </c>
      <c r="AI92" s="396">
        <f>IF(AI2&lt;='Financial Inputs'!$G$9,IF(MOD(AI2,Switchgrass_Key_Inputs!$D$24)=0,Switchgrass_Key_Inputs!$D$24,MOD(AI2,Switchgrass_Key_Inputs!$D$24)),0)</f>
        <v>0</v>
      </c>
      <c r="AJ92" s="396">
        <f>IF(AJ2&lt;='Financial Inputs'!$G$9,IF(MOD(AJ2,Switchgrass_Key_Inputs!$D$24)=0,Switchgrass_Key_Inputs!$D$24,MOD(AJ2,Switchgrass_Key_Inputs!$D$24)),0)</f>
        <v>0</v>
      </c>
    </row>
    <row r="93" spans="1:36" s="1" customFormat="1" ht="15.75" x14ac:dyDescent="0.25">
      <c r="F93" s="592" t="s">
        <v>535</v>
      </c>
      <c r="G93" s="391" cm="1">
        <f t="array" ref="G93">IF(G92&gt;0,INDEX($G$88:$AJ$88,G92),0)*'Key inputs &amp; Outputs'!$F$16*G14</f>
        <v>199933.25000000003</v>
      </c>
      <c r="H93" s="391" cm="1">
        <f t="array" ref="H93">IF(H92&gt;0,INDEX($G$88:$AJ$88,H92),0)*'Key inputs &amp; Outputs'!$F$16*H14</f>
        <v>163094.51499999998</v>
      </c>
      <c r="I93" s="391" cm="1">
        <f t="array" ref="I93">IF(I92&gt;0,INDEX($G$88:$AJ$88,I92),0)*'Key inputs &amp; Outputs'!$F$16*I14</f>
        <v>219201.78929999997</v>
      </c>
      <c r="J93" s="391" cm="1">
        <f t="array" ref="J93">IF(J92&gt;0,INDEX($G$88:$AJ$88,J92),0)*'Key inputs &amp; Outputs'!$F$16*J14</f>
        <v>223585.82508599997</v>
      </c>
      <c r="K93" s="391" cm="1">
        <f t="array" ref="K93">IF(K92&gt;0,INDEX($G$88:$AJ$88,K92),0)*'Key inputs &amp; Outputs'!$F$16*K14</f>
        <v>228057.54158771998</v>
      </c>
      <c r="L93" s="391" cm="1">
        <f t="array" ref="L93">IF(L92&gt;0,INDEX($G$88:$AJ$88,L92),0)*'Key inputs &amp; Outputs'!$F$16*L14</f>
        <v>232618.69241947439</v>
      </c>
      <c r="M93" s="391" cm="1">
        <f t="array" ref="M93">IF(M92&gt;0,INDEX($G$88:$AJ$88,M92),0)*'Key inputs &amp; Outputs'!$F$16*M14</f>
        <v>237271.06626786391</v>
      </c>
      <c r="N93" s="391" cm="1">
        <f t="array" ref="N93">IF(N92&gt;0,INDEX($G$88:$AJ$88,N92),0)*'Key inputs &amp; Outputs'!$F$16*N14</f>
        <v>242016.48759322116</v>
      </c>
      <c r="O93" s="391" cm="1">
        <f t="array" ref="O93">IF(O92&gt;0,INDEX($G$88:$AJ$88,O92),0)*'Key inputs &amp; Outputs'!$F$16*O14</f>
        <v>246856.81734508561</v>
      </c>
      <c r="P93" s="391" cm="1">
        <f t="array" ref="P93">IF(P92&gt;0,INDEX($G$88:$AJ$88,P92),0)*'Key inputs &amp; Outputs'!$F$16*P14</f>
        <v>251793.95369198732</v>
      </c>
      <c r="Q93" s="391" cm="1">
        <f t="array" ref="Q93">IF(Q92&gt;0,INDEX($G$88:$AJ$88,Q92),0)*'Key inputs &amp; Outputs'!$F$16*Q14</f>
        <v>243717.51612141685</v>
      </c>
      <c r="R93" s="391" cm="1">
        <f t="array" ref="R93">IF(R92&gt;0,INDEX($G$88:$AJ$88,R92),0)*'Key inputs &amp; Outputs'!$F$16*R14</f>
        <v>198811.30371675122</v>
      </c>
      <c r="S93" s="391" cm="1">
        <f t="array" ref="S93">IF(S92&gt;0,INDEX($G$88:$AJ$88,S92),0)*'Key inputs &amp; Outputs'!$F$16*S14</f>
        <v>267205.75800956646</v>
      </c>
      <c r="T93" s="391" cm="1">
        <f t="array" ref="T93">IF(T92&gt;0,INDEX($G$88:$AJ$88,T92),0)*'Key inputs &amp; Outputs'!$F$16*T14</f>
        <v>272549.87316975778</v>
      </c>
      <c r="U93" s="391" cm="1">
        <f t="array" ref="U93">IF(U92&gt;0,INDEX($G$88:$AJ$88,U92),0)*'Key inputs &amp; Outputs'!$F$16*U14</f>
        <v>278000.87063315295</v>
      </c>
      <c r="V93" s="391" cm="1">
        <f t="array" ref="V93">IF(V92&gt;0,INDEX($G$88:$AJ$88,V92),0)*'Key inputs &amp; Outputs'!$F$16*V14</f>
        <v>283560.88804581604</v>
      </c>
      <c r="W93" s="391" cm="1">
        <f t="array" ref="W93">IF(W92&gt;0,INDEX($G$88:$AJ$88,W92),0)*'Key inputs &amp; Outputs'!$F$16*W14</f>
        <v>289232.10580673238</v>
      </c>
      <c r="X93" s="391" cm="1">
        <f t="array" ref="X93">IF(X92&gt;0,INDEX($G$88:$AJ$88,X92),0)*'Key inputs &amp; Outputs'!$F$16*X14</f>
        <v>295016.74792286707</v>
      </c>
      <c r="Y93" s="391" cm="1">
        <f t="array" ref="Y93">IF(Y92&gt;0,INDEX($G$88:$AJ$88,Y92),0)*'Key inputs &amp; Outputs'!$F$16*Y14</f>
        <v>300917.0828813244</v>
      </c>
      <c r="Z93" s="391" cm="1">
        <f t="array" ref="Z93">IF(Z92&gt;0,INDEX($G$88:$AJ$88,Z92),0)*'Key inputs &amp; Outputs'!$F$16*Z14</f>
        <v>306935.42453895084</v>
      </c>
      <c r="AA93" s="391" cm="1">
        <f t="array" ref="AA93">IF(AA92&gt;0,INDEX($G$88:$AJ$88,AA92),0)*'Key inputs &amp; Outputs'!$F$16*AA14</f>
        <v>0</v>
      </c>
      <c r="AB93" s="391" cm="1">
        <f t="array" ref="AB93">IF(AB92&gt;0,INDEX($G$88:$AJ$88,AB92),0)*'Key inputs &amp; Outputs'!$F$16*AB14</f>
        <v>0</v>
      </c>
      <c r="AC93" s="391" cm="1">
        <f t="array" ref="AC93">IF(AC92&gt;0,INDEX($G$88:$AJ$88,AC92),0)*'Key inputs &amp; Outputs'!$F$16*AC14</f>
        <v>0</v>
      </c>
      <c r="AD93" s="391" cm="1">
        <f t="array" ref="AD93">IF(AD92&gt;0,INDEX($G$88:$AJ$88,AD92),0)*'Key inputs &amp; Outputs'!$F$16*AD14</f>
        <v>0</v>
      </c>
      <c r="AE93" s="391" cm="1">
        <f t="array" ref="AE93">IF(AE92&gt;0,INDEX($G$88:$AJ$88,AE92),0)*'Key inputs &amp; Outputs'!$F$16*AE14</f>
        <v>0</v>
      </c>
      <c r="AF93" s="391" cm="1">
        <f t="array" ref="AF93">IF(AF92&gt;0,INDEX($G$88:$AJ$88,AF92),0)*'Key inputs &amp; Outputs'!$F$16*AF14</f>
        <v>0</v>
      </c>
      <c r="AG93" s="391" cm="1">
        <f t="array" ref="AG93">IF(AG92&gt;0,INDEX($G$88:$AJ$88,AG92),0)*'Key inputs &amp; Outputs'!$F$16*AG14</f>
        <v>0</v>
      </c>
      <c r="AH93" s="391" cm="1">
        <f t="array" ref="AH93">IF(AH92&gt;0,INDEX($G$88:$AJ$88,AH92),0)*'Key inputs &amp; Outputs'!$F$16*AH14</f>
        <v>0</v>
      </c>
      <c r="AI93" s="391" cm="1">
        <f t="array" ref="AI93">IF(AI92&gt;0,INDEX($G$88:$AJ$88,AI92),0)*'Key inputs &amp; Outputs'!$F$16*AI14</f>
        <v>0</v>
      </c>
      <c r="AJ93" s="391" cm="1">
        <f t="array" ref="AJ93">IF(AJ92&gt;0,INDEX($G$88:$AJ$88,AJ92),0)*'Key inputs &amp; Outputs'!$F$16*AJ14</f>
        <v>0</v>
      </c>
    </row>
    <row r="94" spans="1:36" s="1" customFormat="1" ht="15.75" x14ac:dyDescent="0.25">
      <c r="B94" s="157"/>
      <c r="C94" s="157"/>
      <c r="D94" s="157"/>
      <c r="E94" s="157"/>
      <c r="F94" s="157"/>
      <c r="G94" s="178"/>
      <c r="H94" s="179"/>
      <c r="I94" s="157"/>
      <c r="J94" s="157"/>
      <c r="K94" s="157"/>
      <c r="L94" s="157"/>
      <c r="M94" s="157"/>
      <c r="N94" s="157"/>
      <c r="O94" s="157"/>
      <c r="P94" s="157"/>
      <c r="Q94" s="157"/>
      <c r="R94" s="157"/>
      <c r="S94" s="157"/>
      <c r="T94" s="157"/>
      <c r="U94" s="157"/>
      <c r="V94" s="157"/>
      <c r="W94" s="157"/>
      <c r="X94" s="157"/>
      <c r="Y94" s="157"/>
      <c r="Z94" s="157"/>
      <c r="AA94" s="157"/>
      <c r="AB94" s="157"/>
      <c r="AC94" s="157"/>
      <c r="AD94" s="157"/>
      <c r="AE94" s="157"/>
      <c r="AF94" s="157"/>
      <c r="AG94" s="157"/>
      <c r="AH94" s="157"/>
      <c r="AI94" s="157"/>
      <c r="AJ94" s="157"/>
    </row>
    <row r="95" spans="1:36" s="1" customFormat="1" ht="15.75" x14ac:dyDescent="0.25">
      <c r="B95" s="156" t="s">
        <v>48</v>
      </c>
      <c r="C95" s="156"/>
      <c r="D95" s="156"/>
      <c r="E95" s="157"/>
      <c r="F95" s="157"/>
      <c r="G95" s="157"/>
      <c r="H95" s="157"/>
      <c r="I95" s="157"/>
      <c r="J95" s="157"/>
      <c r="K95" s="157"/>
      <c r="L95" s="157"/>
      <c r="M95" s="157"/>
      <c r="N95" s="157"/>
      <c r="O95" s="157"/>
      <c r="P95" s="157"/>
      <c r="Q95" s="157"/>
      <c r="R95" s="157"/>
      <c r="S95" s="157"/>
      <c r="T95" s="157"/>
      <c r="U95" s="157"/>
      <c r="V95" s="157"/>
      <c r="W95" s="157"/>
      <c r="X95" s="157"/>
      <c r="Y95" s="157"/>
      <c r="Z95" s="157"/>
      <c r="AA95" s="157"/>
      <c r="AB95" s="157"/>
      <c r="AC95" s="157"/>
      <c r="AD95" s="157"/>
      <c r="AE95" s="157"/>
      <c r="AF95" s="157"/>
      <c r="AG95" s="157"/>
      <c r="AH95" s="157"/>
      <c r="AI95" s="157"/>
      <c r="AJ95" s="157"/>
    </row>
    <row r="96" spans="1:36" s="1" customFormat="1" ht="15.75" x14ac:dyDescent="0.25">
      <c r="B96" s="180" t="s">
        <v>50</v>
      </c>
      <c r="C96" s="180"/>
      <c r="D96" s="180"/>
      <c r="E96" s="181"/>
      <c r="F96" s="182"/>
      <c r="G96" s="183"/>
      <c r="H96" s="183"/>
      <c r="I96" s="183"/>
      <c r="J96" s="183"/>
      <c r="K96" s="183"/>
      <c r="L96" s="183"/>
      <c r="M96" s="183"/>
      <c r="N96" s="183"/>
      <c r="O96" s="183"/>
      <c r="P96" s="183"/>
      <c r="Q96" s="183"/>
      <c r="R96" s="183"/>
      <c r="S96" s="183"/>
      <c r="T96" s="183"/>
      <c r="U96" s="183"/>
      <c r="V96" s="183"/>
      <c r="W96" s="183"/>
      <c r="X96" s="183"/>
      <c r="Y96" s="183"/>
      <c r="Z96" s="183"/>
      <c r="AA96" s="183"/>
      <c r="AB96" s="183"/>
      <c r="AC96" s="183"/>
      <c r="AD96" s="183"/>
      <c r="AE96" s="183"/>
      <c r="AF96" s="183"/>
      <c r="AG96" s="183"/>
      <c r="AH96" s="183"/>
      <c r="AI96" s="183"/>
      <c r="AJ96" s="183"/>
    </row>
    <row r="97" spans="2:36" s="1" customFormat="1" x14ac:dyDescent="0.2">
      <c r="B97" s="181" t="s">
        <v>678</v>
      </c>
      <c r="C97" s="181"/>
      <c r="D97" s="172"/>
      <c r="E97" s="181"/>
      <c r="F97" s="190">
        <f>'Financial Inputs'!G7</f>
        <v>10000</v>
      </c>
      <c r="G97" s="183"/>
      <c r="H97" s="183"/>
      <c r="I97" s="183"/>
      <c r="J97" s="183"/>
      <c r="K97" s="183"/>
      <c r="L97" s="183"/>
      <c r="M97" s="183"/>
      <c r="N97" s="183"/>
      <c r="O97" s="183"/>
      <c r="P97" s="183"/>
      <c r="Q97" s="183"/>
      <c r="R97" s="183"/>
      <c r="S97" s="183"/>
      <c r="T97" s="183"/>
      <c r="U97" s="183"/>
      <c r="V97" s="183"/>
      <c r="W97" s="183"/>
      <c r="X97" s="183"/>
      <c r="Y97" s="183"/>
      <c r="Z97" s="183"/>
      <c r="AA97" s="183"/>
      <c r="AB97" s="183"/>
      <c r="AC97" s="183"/>
      <c r="AD97" s="183"/>
      <c r="AE97" s="183"/>
      <c r="AF97" s="183"/>
      <c r="AG97" s="183"/>
      <c r="AH97" s="183"/>
      <c r="AI97" s="183"/>
      <c r="AJ97" s="183"/>
    </row>
    <row r="98" spans="2:36" s="1" customFormat="1" x14ac:dyDescent="0.2">
      <c r="B98" s="181" t="s">
        <v>430</v>
      </c>
      <c r="C98" s="181"/>
      <c r="D98" s="172"/>
      <c r="E98" s="181"/>
      <c r="F98" s="190">
        <f>'Financial Inputs'!G35</f>
        <v>0</v>
      </c>
      <c r="G98" s="183"/>
      <c r="H98" s="183"/>
      <c r="I98" s="183"/>
      <c r="J98" s="183"/>
      <c r="K98" s="183"/>
      <c r="L98" s="183"/>
      <c r="M98" s="183"/>
      <c r="N98" s="183"/>
      <c r="O98" s="183"/>
      <c r="P98" s="183"/>
      <c r="Q98" s="183"/>
      <c r="R98" s="183"/>
      <c r="S98" s="183"/>
      <c r="T98" s="183"/>
      <c r="U98" s="183"/>
      <c r="V98" s="183"/>
      <c r="W98" s="183"/>
      <c r="X98" s="183"/>
      <c r="Y98" s="183"/>
      <c r="Z98" s="183"/>
      <c r="AA98" s="183"/>
      <c r="AB98" s="183"/>
      <c r="AC98" s="183"/>
      <c r="AD98" s="183"/>
      <c r="AE98" s="183"/>
      <c r="AF98" s="183"/>
      <c r="AG98" s="183"/>
      <c r="AH98" s="183"/>
      <c r="AI98" s="183"/>
      <c r="AJ98" s="183"/>
    </row>
    <row r="99" spans="2:36" s="1" customFormat="1" x14ac:dyDescent="0.2">
      <c r="B99" s="181" t="s">
        <v>51</v>
      </c>
      <c r="C99" s="181"/>
      <c r="D99" s="181"/>
      <c r="E99" s="181"/>
      <c r="F99" s="184">
        <f>'Financial Inputs'!$P$82</f>
        <v>0.25</v>
      </c>
      <c r="G99" s="183"/>
      <c r="H99" s="183"/>
      <c r="I99" s="183"/>
      <c r="J99" s="183"/>
      <c r="K99" s="183"/>
      <c r="L99" s="183"/>
      <c r="M99" s="183"/>
      <c r="N99" s="183"/>
      <c r="O99" s="183"/>
      <c r="P99" s="183"/>
      <c r="Q99" s="183"/>
      <c r="R99" s="183"/>
      <c r="S99" s="183"/>
      <c r="T99" s="183"/>
      <c r="U99" s="183"/>
      <c r="V99" s="183"/>
      <c r="W99" s="183"/>
      <c r="X99" s="183"/>
      <c r="Y99" s="183"/>
      <c r="Z99" s="183"/>
      <c r="AA99" s="183"/>
      <c r="AB99" s="183"/>
      <c r="AC99" s="183"/>
      <c r="AD99" s="183"/>
      <c r="AE99" s="183"/>
      <c r="AF99" s="183"/>
      <c r="AG99" s="183"/>
      <c r="AH99" s="183"/>
      <c r="AI99" s="183"/>
      <c r="AJ99" s="183"/>
    </row>
    <row r="100" spans="2:36" s="1" customFormat="1" x14ac:dyDescent="0.2">
      <c r="B100" s="181" t="s">
        <v>49</v>
      </c>
      <c r="C100" s="181"/>
      <c r="D100" s="181"/>
      <c r="E100" s="181"/>
      <c r="F100" s="185">
        <f>(F97+F98)*F99</f>
        <v>2500</v>
      </c>
      <c r="G100" s="183"/>
      <c r="H100" s="183"/>
      <c r="I100" s="183"/>
      <c r="J100" s="183"/>
      <c r="K100" s="183"/>
      <c r="L100" s="183"/>
      <c r="M100" s="183"/>
      <c r="N100" s="183"/>
      <c r="O100" s="183"/>
      <c r="P100" s="183"/>
      <c r="Q100" s="183"/>
      <c r="R100" s="183"/>
      <c r="S100" s="183"/>
      <c r="T100" s="183"/>
      <c r="U100" s="183"/>
      <c r="V100" s="183"/>
      <c r="W100" s="183"/>
      <c r="X100" s="183"/>
      <c r="Y100" s="183"/>
      <c r="Z100" s="183"/>
      <c r="AA100" s="183"/>
      <c r="AB100" s="183"/>
      <c r="AC100" s="183"/>
      <c r="AD100" s="183"/>
      <c r="AE100" s="183"/>
      <c r="AF100" s="183"/>
      <c r="AG100" s="183"/>
      <c r="AH100" s="183"/>
      <c r="AI100" s="183"/>
      <c r="AJ100" s="183"/>
    </row>
    <row r="101" spans="2:36" s="1" customFormat="1" x14ac:dyDescent="0.2">
      <c r="B101" s="186"/>
      <c r="C101" s="186"/>
      <c r="D101" s="186"/>
      <c r="E101" s="186"/>
      <c r="F101" s="187"/>
      <c r="G101" s="183"/>
      <c r="H101" s="183"/>
      <c r="I101" s="183"/>
      <c r="J101" s="183"/>
      <c r="K101" s="183"/>
      <c r="L101" s="183"/>
      <c r="M101" s="183"/>
      <c r="N101" s="183"/>
      <c r="O101" s="183"/>
      <c r="P101" s="183"/>
      <c r="Q101" s="183"/>
      <c r="R101" s="183"/>
      <c r="S101" s="183"/>
      <c r="T101" s="183"/>
      <c r="U101" s="183"/>
      <c r="V101" s="183"/>
      <c r="W101" s="183"/>
      <c r="X101" s="183"/>
      <c r="Y101" s="183"/>
      <c r="Z101" s="183"/>
      <c r="AA101" s="183"/>
      <c r="AB101" s="183"/>
      <c r="AC101" s="183"/>
      <c r="AD101" s="183"/>
      <c r="AE101" s="183"/>
      <c r="AF101" s="183"/>
      <c r="AG101" s="183"/>
      <c r="AH101" s="183"/>
      <c r="AI101" s="183"/>
      <c r="AJ101" s="183"/>
    </row>
    <row r="102" spans="2:36" s="1" customFormat="1" ht="15.75" x14ac:dyDescent="0.25">
      <c r="B102" s="180" t="s">
        <v>70</v>
      </c>
      <c r="C102" s="180"/>
      <c r="D102" s="180"/>
      <c r="E102" s="180"/>
      <c r="F102" s="187"/>
      <c r="G102" s="183"/>
      <c r="H102" s="183"/>
      <c r="I102" s="183"/>
      <c r="J102" s="183"/>
      <c r="K102" s="183"/>
      <c r="L102" s="183"/>
      <c r="M102" s="183"/>
      <c r="N102" s="183"/>
      <c r="O102" s="183"/>
      <c r="P102" s="183"/>
      <c r="Q102" s="183"/>
      <c r="R102" s="183"/>
      <c r="S102" s="183"/>
      <c r="T102" s="183"/>
      <c r="U102" s="183"/>
      <c r="V102" s="183"/>
      <c r="W102" s="183"/>
      <c r="X102" s="183"/>
      <c r="Y102" s="183"/>
      <c r="Z102" s="183"/>
      <c r="AA102" s="183"/>
      <c r="AB102" s="183"/>
      <c r="AC102" s="183"/>
      <c r="AD102" s="183"/>
      <c r="AE102" s="183"/>
      <c r="AF102" s="183"/>
      <c r="AG102" s="183"/>
      <c r="AH102" s="183"/>
      <c r="AI102" s="183"/>
      <c r="AJ102" s="183"/>
    </row>
    <row r="103" spans="2:36" s="1" customFormat="1" ht="15.75" x14ac:dyDescent="0.25">
      <c r="B103" s="188" t="s">
        <v>57</v>
      </c>
      <c r="C103" s="188"/>
      <c r="D103" s="188"/>
      <c r="E103" s="188"/>
      <c r="F103" s="189">
        <v>0</v>
      </c>
      <c r="G103" s="190">
        <f>SUM(G104:G105)</f>
        <v>-372.57372174268869</v>
      </c>
      <c r="H103" s="190">
        <f t="shared" ref="H103:AJ103" si="24">SUM(H104:H105)</f>
        <v>-372.57372174268869</v>
      </c>
      <c r="I103" s="190">
        <f t="shared" si="24"/>
        <v>-372.57372174268869</v>
      </c>
      <c r="J103" s="190">
        <f t="shared" si="24"/>
        <v>-372.57372174268869</v>
      </c>
      <c r="K103" s="190">
        <f t="shared" si="24"/>
        <v>-372.57372174268869</v>
      </c>
      <c r="L103" s="190">
        <f t="shared" si="24"/>
        <v>-372.57372174268869</v>
      </c>
      <c r="M103" s="190">
        <f t="shared" si="24"/>
        <v>-372.57372174268869</v>
      </c>
      <c r="N103" s="190">
        <f t="shared" si="24"/>
        <v>-372.57372174268869</v>
      </c>
      <c r="O103" s="190">
        <f t="shared" si="24"/>
        <v>-372.57372174268869</v>
      </c>
      <c r="P103" s="190">
        <f t="shared" si="24"/>
        <v>-372.57372174268869</v>
      </c>
      <c r="Q103" s="190">
        <f t="shared" si="24"/>
        <v>0</v>
      </c>
      <c r="R103" s="190">
        <f t="shared" si="24"/>
        <v>0</v>
      </c>
      <c r="S103" s="190">
        <f t="shared" si="24"/>
        <v>0</v>
      </c>
      <c r="T103" s="190">
        <f t="shared" si="24"/>
        <v>0</v>
      </c>
      <c r="U103" s="190">
        <f t="shared" si="24"/>
        <v>0</v>
      </c>
      <c r="V103" s="190">
        <f t="shared" si="24"/>
        <v>0</v>
      </c>
      <c r="W103" s="190">
        <f t="shared" si="24"/>
        <v>0</v>
      </c>
      <c r="X103" s="190">
        <f t="shared" si="24"/>
        <v>0</v>
      </c>
      <c r="Y103" s="190">
        <f t="shared" si="24"/>
        <v>0</v>
      </c>
      <c r="Z103" s="190">
        <f t="shared" si="24"/>
        <v>0</v>
      </c>
      <c r="AA103" s="190">
        <f t="shared" si="24"/>
        <v>0</v>
      </c>
      <c r="AB103" s="190">
        <f t="shared" si="24"/>
        <v>0</v>
      </c>
      <c r="AC103" s="190">
        <f t="shared" si="24"/>
        <v>0</v>
      </c>
      <c r="AD103" s="190">
        <f t="shared" si="24"/>
        <v>0</v>
      </c>
      <c r="AE103" s="190">
        <f t="shared" si="24"/>
        <v>0</v>
      </c>
      <c r="AF103" s="190">
        <f t="shared" si="24"/>
        <v>0</v>
      </c>
      <c r="AG103" s="190">
        <f t="shared" si="24"/>
        <v>0</v>
      </c>
      <c r="AH103" s="190">
        <f t="shared" si="24"/>
        <v>0</v>
      </c>
      <c r="AI103" s="190">
        <f t="shared" si="24"/>
        <v>0</v>
      </c>
      <c r="AJ103" s="190">
        <f t="shared" si="24"/>
        <v>0</v>
      </c>
    </row>
    <row r="104" spans="2:36" s="1" customFormat="1" ht="15.75" x14ac:dyDescent="0.25">
      <c r="B104" s="188" t="s">
        <v>55</v>
      </c>
      <c r="C104" s="188"/>
      <c r="D104" s="188"/>
      <c r="E104" s="188"/>
      <c r="F104" s="189">
        <v>0</v>
      </c>
      <c r="G104" s="190">
        <f>IF(G$2&gt;'Financial Inputs'!$P$83,0,IPMT('Financial Inputs'!$V$189,G$2,'Financial Inputs'!$P$83,$F$100))</f>
        <v>-200.00000000000017</v>
      </c>
      <c r="H104" s="190">
        <f>IF(H$2&gt;'Financial Inputs'!$P$83,0,IPMT('Financial Inputs'!$V$189,H$2,'Financial Inputs'!$P$83,$F$100))</f>
        <v>-186.19410226058508</v>
      </c>
      <c r="I104" s="190">
        <f>IF(I$2&gt;'Financial Inputs'!$P$83,0,IPMT('Financial Inputs'!$V$189,I$2,'Financial Inputs'!$P$83,$F$100))</f>
        <v>-171.28373270201675</v>
      </c>
      <c r="J104" s="190">
        <f>IF(J$2&gt;'Financial Inputs'!$P$83,0,IPMT('Financial Inputs'!$V$189,J$2,'Financial Inputs'!$P$83,$F$100))</f>
        <v>-155.180533578763</v>
      </c>
      <c r="K104" s="190">
        <f>IF(K$2&gt;'Financial Inputs'!$P$83,0,IPMT('Financial Inputs'!$V$189,K$2,'Financial Inputs'!$P$83,$F$100))</f>
        <v>-137.78907852564893</v>
      </c>
      <c r="L104" s="190">
        <f>IF(L$2&gt;'Financial Inputs'!$P$83,0,IPMT('Financial Inputs'!$V$189,L$2,'Financial Inputs'!$P$83,$F$100))</f>
        <v>-119.00630706828575</v>
      </c>
      <c r="M104" s="190">
        <f>IF(M$2&gt;'Financial Inputs'!$P$83,0,IPMT('Financial Inputs'!$V$189,M$2,'Financial Inputs'!$P$83,$F$100))</f>
        <v>-98.720913894333492</v>
      </c>
      <c r="N104" s="190">
        <f>IF(N$2&gt;'Financial Inputs'!$P$83,0,IPMT('Financial Inputs'!$V$189,N$2,'Financial Inputs'!$P$83,$F$100))</f>
        <v>-76.812689266465057</v>
      </c>
      <c r="O104" s="190">
        <f>IF(O$2&gt;'Financial Inputs'!$P$83,0,IPMT('Financial Inputs'!$V$189,O$2,'Financial Inputs'!$P$83,$F$100))</f>
        <v>-53.151806668367158</v>
      </c>
      <c r="P104" s="190">
        <f>IF(P$2&gt;'Financial Inputs'!$P$83,0,IPMT('Financial Inputs'!$V$189,P$2,'Financial Inputs'!$P$83,$F$100))</f>
        <v>-27.598053462421401</v>
      </c>
      <c r="Q104" s="190">
        <f>IF(Q$2&gt;'Financial Inputs'!$P$83,0,IPMT('Financial Inputs'!$V$189,Q$2,'Financial Inputs'!$P$83,$F$100))</f>
        <v>0</v>
      </c>
      <c r="R104" s="190">
        <f>IF(R$2&gt;'Financial Inputs'!$P$83,0,IPMT('Financial Inputs'!$V$189,R$2,'Financial Inputs'!$P$83,$F$100))</f>
        <v>0</v>
      </c>
      <c r="S104" s="190">
        <f>IF(S$2&gt;'Financial Inputs'!$P$83,0,IPMT('Financial Inputs'!$V$189,S$2,'Financial Inputs'!$P$83,$F$100))</f>
        <v>0</v>
      </c>
      <c r="T104" s="190">
        <f>IF(T$2&gt;'Financial Inputs'!$P$83,0,IPMT('Financial Inputs'!$V$189,T$2,'Financial Inputs'!$P$83,$F$100))</f>
        <v>0</v>
      </c>
      <c r="U104" s="190">
        <f>IF(U$2&gt;'Financial Inputs'!$P$83,0,IPMT('Financial Inputs'!$V$189,U$2,'Financial Inputs'!$P$83,$F$100))</f>
        <v>0</v>
      </c>
      <c r="V104" s="190">
        <f>IF(V$2&gt;'Financial Inputs'!$P$83,0,IPMT('Financial Inputs'!$V$189,V$2,'Financial Inputs'!$P$83,$F$100))</f>
        <v>0</v>
      </c>
      <c r="W104" s="190">
        <f>IF(W$2&gt;'Financial Inputs'!$P$83,0,IPMT('Financial Inputs'!$V$189,W$2,'Financial Inputs'!$P$83,$F$100))</f>
        <v>0</v>
      </c>
      <c r="X104" s="190">
        <f>IF(X$2&gt;'Financial Inputs'!$P$83,0,IPMT('Financial Inputs'!$V$189,X$2,'Financial Inputs'!$P$83,$F$100))</f>
        <v>0</v>
      </c>
      <c r="Y104" s="190">
        <f>IF(Y$2&gt;'Financial Inputs'!$P$83,0,IPMT('Financial Inputs'!$V$189,Y$2,'Financial Inputs'!$P$83,$F$100))</f>
        <v>0</v>
      </c>
      <c r="Z104" s="190">
        <f>IF(Z$2&gt;'Financial Inputs'!$P$83,0,IPMT('Financial Inputs'!$V$189,Z$2,'Financial Inputs'!$P$83,$F$100))</f>
        <v>0</v>
      </c>
      <c r="AA104" s="190">
        <f>IF(AA$2&gt;'Financial Inputs'!$P$83,0,IPMT('Financial Inputs'!$V$189,AA$2,'Financial Inputs'!$P$83,$F$100))</f>
        <v>0</v>
      </c>
      <c r="AB104" s="190">
        <f>IF(AB$2&gt;'Financial Inputs'!$P$83,0,IPMT('Financial Inputs'!$V$189,AB$2,'Financial Inputs'!$P$83,$F$100))</f>
        <v>0</v>
      </c>
      <c r="AC104" s="190">
        <f>IF(AC$2&gt;'Financial Inputs'!$P$83,0,IPMT('Financial Inputs'!$V$189,AC$2,'Financial Inputs'!$P$83,$F$100))</f>
        <v>0</v>
      </c>
      <c r="AD104" s="190">
        <f>IF(AD$2&gt;'Financial Inputs'!$P$83,0,IPMT('Financial Inputs'!$V$189,AD$2,'Financial Inputs'!$P$83,$F$100))</f>
        <v>0</v>
      </c>
      <c r="AE104" s="190">
        <f>IF(AE$2&gt;'Financial Inputs'!$P$83,0,IPMT('Financial Inputs'!$V$189,AE$2,'Financial Inputs'!$P$83,$F$100))</f>
        <v>0</v>
      </c>
      <c r="AF104" s="190">
        <f>IF(AF$2&gt;'Financial Inputs'!$P$83,0,IPMT('Financial Inputs'!$V$189,AF$2,'Financial Inputs'!$P$83,$F$100))</f>
        <v>0</v>
      </c>
      <c r="AG104" s="190">
        <f>IF(AG$2&gt;'Financial Inputs'!$P$83,0,IPMT('Financial Inputs'!$V$189,AG$2,'Financial Inputs'!$P$83,$F$100))</f>
        <v>0</v>
      </c>
      <c r="AH104" s="190">
        <f>IF(AH$2&gt;'Financial Inputs'!$P$83,0,IPMT('Financial Inputs'!$V$189,AH$2,'Financial Inputs'!$P$83,$F$100))</f>
        <v>0</v>
      </c>
      <c r="AI104" s="190">
        <f>IF(AI$2&gt;'Financial Inputs'!$P$83,0,IPMT('Financial Inputs'!$V$189,AI$2,'Financial Inputs'!$P$83,$F$100))</f>
        <v>0</v>
      </c>
      <c r="AJ104" s="190">
        <f>IF(AJ$2&gt;'Financial Inputs'!$P$83,0,IPMT('Financial Inputs'!$V$189,AJ$2,'Financial Inputs'!$P$83,$F$100))</f>
        <v>0</v>
      </c>
    </row>
    <row r="105" spans="2:36" s="1" customFormat="1" x14ac:dyDescent="0.2">
      <c r="B105" s="188" t="s">
        <v>56</v>
      </c>
      <c r="C105" s="188"/>
      <c r="D105" s="188"/>
      <c r="E105" s="188"/>
      <c r="F105" s="182">
        <f>MIN(MAX(0,F103-F104),F$108)</f>
        <v>0</v>
      </c>
      <c r="G105" s="190">
        <f>IF(G$2&gt;'Financial Inputs'!$P$83,0,PPMT('Financial Inputs'!$V$189,G$2,'Financial Inputs'!$P$83,$F$100))</f>
        <v>-172.57372174268852</v>
      </c>
      <c r="H105" s="190">
        <f>IF(H$2&gt;'Financial Inputs'!$P$83,0,PPMT('Financial Inputs'!$V$189,H$2,'Financial Inputs'!$P$83,$F$100))</f>
        <v>-186.37961948210364</v>
      </c>
      <c r="I105" s="190">
        <f>IF(I$2&gt;'Financial Inputs'!$P$83,0,PPMT('Financial Inputs'!$V$189,I$2,'Financial Inputs'!$P$83,$F$100))</f>
        <v>-201.28998904067194</v>
      </c>
      <c r="J105" s="190">
        <f>IF(J$2&gt;'Financial Inputs'!$P$83,0,PPMT('Financial Inputs'!$V$189,J$2,'Financial Inputs'!$P$83,$F$100))</f>
        <v>-217.39318816392569</v>
      </c>
      <c r="K105" s="190">
        <f>IF(K$2&gt;'Financial Inputs'!$P$83,0,PPMT('Financial Inputs'!$V$189,K$2,'Financial Inputs'!$P$83,$F$100))</f>
        <v>-234.78464321703976</v>
      </c>
      <c r="L105" s="190">
        <f>IF(L$2&gt;'Financial Inputs'!$P$83,0,PPMT('Financial Inputs'!$V$189,L$2,'Financial Inputs'!$P$83,$F$100))</f>
        <v>-253.56741467440295</v>
      </c>
      <c r="M105" s="190">
        <f>IF(M$2&gt;'Financial Inputs'!$P$83,0,PPMT('Financial Inputs'!$V$189,M$2,'Financial Inputs'!$P$83,$F$100))</f>
        <v>-273.85280784835521</v>
      </c>
      <c r="N105" s="190">
        <f>IF(N$2&gt;'Financial Inputs'!$P$83,0,PPMT('Financial Inputs'!$V$189,N$2,'Financial Inputs'!$P$83,$F$100))</f>
        <v>-295.76103247622365</v>
      </c>
      <c r="O105" s="190">
        <f>IF(O$2&gt;'Financial Inputs'!$P$83,0,PPMT('Financial Inputs'!$V$189,O$2,'Financial Inputs'!$P$83,$F$100))</f>
        <v>-319.42191507432153</v>
      </c>
      <c r="P105" s="190">
        <f>IF(P$2&gt;'Financial Inputs'!$P$83,0,PPMT('Financial Inputs'!$V$189,P$2,'Financial Inputs'!$P$83,$F$100))</f>
        <v>-344.97566828026731</v>
      </c>
      <c r="Q105" s="190">
        <f>IF(Q$2&gt;'Financial Inputs'!$P$83,0,PPMT('Financial Inputs'!$V$189,Q$2,'Financial Inputs'!$P$83,$F$100))</f>
        <v>0</v>
      </c>
      <c r="R105" s="190">
        <f>IF(R$2&gt;'Financial Inputs'!$P$83,0,PPMT('Financial Inputs'!$V$189,R$2,'Financial Inputs'!$P$83,$F$100))</f>
        <v>0</v>
      </c>
      <c r="S105" s="190">
        <f>IF(S$2&gt;'Financial Inputs'!$P$83,0,PPMT('Financial Inputs'!$V$189,S$2,'Financial Inputs'!$P$83,$F$100))</f>
        <v>0</v>
      </c>
      <c r="T105" s="190">
        <f>IF(T$2&gt;'Financial Inputs'!$P$83,0,PPMT('Financial Inputs'!$V$189,T$2,'Financial Inputs'!$P$83,$F$100))</f>
        <v>0</v>
      </c>
      <c r="U105" s="190">
        <f>IF(U$2&gt;'Financial Inputs'!$P$83,0,PPMT('Financial Inputs'!$V$189,U$2,'Financial Inputs'!$P$83,$F$100))</f>
        <v>0</v>
      </c>
      <c r="V105" s="190">
        <f>IF(V$2&gt;'Financial Inputs'!$P$83,0,PPMT('Financial Inputs'!$V$189,V$2,'Financial Inputs'!$P$83,$F$100))</f>
        <v>0</v>
      </c>
      <c r="W105" s="190">
        <f>IF(W$2&gt;'Financial Inputs'!$P$83,0,PPMT('Financial Inputs'!$V$189,W$2,'Financial Inputs'!$P$83,$F$100))</f>
        <v>0</v>
      </c>
      <c r="X105" s="190">
        <f>IF(X$2&gt;'Financial Inputs'!$P$83,0,PPMT('Financial Inputs'!$V$189,X$2,'Financial Inputs'!$P$83,$F$100))</f>
        <v>0</v>
      </c>
      <c r="Y105" s="190">
        <f>IF(Y$2&gt;'Financial Inputs'!$P$83,0,PPMT('Financial Inputs'!$V$189,Y$2,'Financial Inputs'!$P$83,$F$100))</f>
        <v>0</v>
      </c>
      <c r="Z105" s="190">
        <f>IF(Z$2&gt;'Financial Inputs'!$P$83,0,PPMT('Financial Inputs'!$V$189,Z$2,'Financial Inputs'!$P$83,$F$100))</f>
        <v>0</v>
      </c>
      <c r="AA105" s="190">
        <f>IF(AA$2&gt;'Financial Inputs'!$P$83,0,PPMT('Financial Inputs'!$V$189,AA$2,'Financial Inputs'!$P$83,$F$100))</f>
        <v>0</v>
      </c>
      <c r="AB105" s="190">
        <f>IF(AB$2&gt;'Financial Inputs'!$P$83,0,PPMT('Financial Inputs'!$V$189,AB$2,'Financial Inputs'!$P$83,$F$100))</f>
        <v>0</v>
      </c>
      <c r="AC105" s="190">
        <f>IF(AC$2&gt;'Financial Inputs'!$P$83,0,PPMT('Financial Inputs'!$V$189,AC$2,'Financial Inputs'!$P$83,$F$100))</f>
        <v>0</v>
      </c>
      <c r="AD105" s="190">
        <f>IF(AD$2&gt;'Financial Inputs'!$P$83,0,PPMT('Financial Inputs'!$V$189,AD$2,'Financial Inputs'!$P$83,$F$100))</f>
        <v>0</v>
      </c>
      <c r="AE105" s="190">
        <f>IF(AE$2&gt;'Financial Inputs'!$P$83,0,PPMT('Financial Inputs'!$V$189,AE$2,'Financial Inputs'!$P$83,$F$100))</f>
        <v>0</v>
      </c>
      <c r="AF105" s="190">
        <f>IF(AF$2&gt;'Financial Inputs'!$P$83,0,PPMT('Financial Inputs'!$V$189,AF$2,'Financial Inputs'!$P$83,$F$100))</f>
        <v>0</v>
      </c>
      <c r="AG105" s="190">
        <f>IF(AG$2&gt;'Financial Inputs'!$P$83,0,PPMT('Financial Inputs'!$V$189,AG$2,'Financial Inputs'!$P$83,$F$100))</f>
        <v>0</v>
      </c>
      <c r="AH105" s="190">
        <f>IF(AH$2&gt;'Financial Inputs'!$P$83,0,PPMT('Financial Inputs'!$V$189,AH$2,'Financial Inputs'!$P$83,$F$100))</f>
        <v>0</v>
      </c>
      <c r="AI105" s="190">
        <f>IF(AI$2&gt;'Financial Inputs'!$P$83,0,PPMT('Financial Inputs'!$V$189,AI$2,'Financial Inputs'!$P$83,$F$100))</f>
        <v>0</v>
      </c>
      <c r="AJ105" s="190">
        <f>IF(AJ$2&gt;'Financial Inputs'!$P$83,0,PPMT('Financial Inputs'!$V$189,AJ$2,'Financial Inputs'!$P$83,$F$100))</f>
        <v>0</v>
      </c>
    </row>
    <row r="106" spans="2:36" s="1" customFormat="1" ht="15.75" x14ac:dyDescent="0.25">
      <c r="B106" s="180"/>
      <c r="C106" s="180"/>
      <c r="D106" s="180"/>
      <c r="E106" s="180"/>
      <c r="F106" s="187"/>
      <c r="G106" s="183"/>
      <c r="H106" s="183"/>
      <c r="I106" s="183"/>
      <c r="J106" s="183"/>
      <c r="K106" s="183"/>
      <c r="L106" s="183"/>
      <c r="M106" s="183"/>
      <c r="N106" s="183"/>
      <c r="O106" s="183"/>
      <c r="P106" s="183"/>
      <c r="Q106" s="183"/>
      <c r="R106" s="183"/>
      <c r="S106" s="183"/>
      <c r="T106" s="183"/>
      <c r="U106" s="183"/>
      <c r="V106" s="183"/>
      <c r="W106" s="183"/>
      <c r="X106" s="183"/>
      <c r="Y106" s="183"/>
      <c r="Z106" s="183"/>
      <c r="AA106" s="183"/>
      <c r="AB106" s="183"/>
      <c r="AC106" s="183"/>
      <c r="AD106" s="183"/>
      <c r="AE106" s="183"/>
      <c r="AF106" s="183"/>
      <c r="AG106" s="183"/>
      <c r="AH106" s="183"/>
      <c r="AI106" s="183"/>
      <c r="AJ106" s="183"/>
    </row>
    <row r="107" spans="2:36" s="1" customFormat="1" ht="15.75" x14ac:dyDescent="0.25">
      <c r="B107" s="180" t="s">
        <v>69</v>
      </c>
      <c r="C107" s="180"/>
      <c r="D107" s="180"/>
      <c r="E107" s="181"/>
      <c r="F107" s="191"/>
      <c r="G107" s="191"/>
      <c r="H107" s="191"/>
      <c r="I107" s="191"/>
      <c r="J107" s="191"/>
      <c r="K107" s="191"/>
      <c r="L107" s="191"/>
      <c r="M107" s="191"/>
      <c r="N107" s="191"/>
      <c r="O107" s="191"/>
      <c r="P107" s="191"/>
      <c r="Q107" s="191"/>
      <c r="R107" s="191"/>
      <c r="S107" s="191"/>
      <c r="T107" s="191"/>
      <c r="U107" s="191"/>
      <c r="V107" s="191"/>
      <c r="W107" s="191"/>
      <c r="X107" s="191"/>
      <c r="Y107" s="191"/>
      <c r="Z107" s="191"/>
      <c r="AA107" s="191"/>
      <c r="AB107" s="191"/>
      <c r="AC107" s="191"/>
      <c r="AD107" s="191"/>
      <c r="AE107" s="191"/>
      <c r="AF107" s="191"/>
      <c r="AG107" s="191"/>
      <c r="AH107" s="191"/>
      <c r="AI107" s="191"/>
      <c r="AJ107" s="191"/>
    </row>
    <row r="108" spans="2:36" s="1" customFormat="1" ht="15.75" x14ac:dyDescent="0.25">
      <c r="B108" s="188" t="s">
        <v>52</v>
      </c>
      <c r="C108" s="188"/>
      <c r="D108" s="188"/>
      <c r="E108" s="188"/>
      <c r="F108" s="189">
        <v>0</v>
      </c>
      <c r="G108" s="182">
        <f t="shared" ref="G108:AJ108" si="25">F111</f>
        <v>2500</v>
      </c>
      <c r="H108" s="182">
        <f t="shared" si="25"/>
        <v>2327.4262782573114</v>
      </c>
      <c r="I108" s="182">
        <f t="shared" si="25"/>
        <v>2141.046658775208</v>
      </c>
      <c r="J108" s="182">
        <f t="shared" si="25"/>
        <v>1939.756669734536</v>
      </c>
      <c r="K108" s="182">
        <f t="shared" si="25"/>
        <v>1722.3634815706102</v>
      </c>
      <c r="L108" s="182">
        <f t="shared" si="25"/>
        <v>1487.5788383535705</v>
      </c>
      <c r="M108" s="182">
        <f t="shared" si="25"/>
        <v>1234.0114236791676</v>
      </c>
      <c r="N108" s="182">
        <f t="shared" si="25"/>
        <v>960.15861583081232</v>
      </c>
      <c r="O108" s="182">
        <f t="shared" si="25"/>
        <v>664.39758335458873</v>
      </c>
      <c r="P108" s="182">
        <f t="shared" si="25"/>
        <v>344.9756682802672</v>
      </c>
      <c r="Q108" s="182">
        <f t="shared" si="25"/>
        <v>0</v>
      </c>
      <c r="R108" s="182">
        <f t="shared" si="25"/>
        <v>0</v>
      </c>
      <c r="S108" s="182">
        <f t="shared" si="25"/>
        <v>0</v>
      </c>
      <c r="T108" s="182">
        <f t="shared" si="25"/>
        <v>0</v>
      </c>
      <c r="U108" s="182">
        <f t="shared" si="25"/>
        <v>0</v>
      </c>
      <c r="V108" s="182">
        <f t="shared" si="25"/>
        <v>0</v>
      </c>
      <c r="W108" s="182">
        <f t="shared" si="25"/>
        <v>0</v>
      </c>
      <c r="X108" s="182">
        <f t="shared" si="25"/>
        <v>0</v>
      </c>
      <c r="Y108" s="182">
        <f t="shared" si="25"/>
        <v>0</v>
      </c>
      <c r="Z108" s="182">
        <f t="shared" si="25"/>
        <v>0</v>
      </c>
      <c r="AA108" s="182">
        <f t="shared" si="25"/>
        <v>0</v>
      </c>
      <c r="AB108" s="182">
        <f t="shared" si="25"/>
        <v>0</v>
      </c>
      <c r="AC108" s="182">
        <f t="shared" si="25"/>
        <v>0</v>
      </c>
      <c r="AD108" s="182">
        <f t="shared" si="25"/>
        <v>0</v>
      </c>
      <c r="AE108" s="182">
        <f t="shared" si="25"/>
        <v>0</v>
      </c>
      <c r="AF108" s="182">
        <f t="shared" si="25"/>
        <v>0</v>
      </c>
      <c r="AG108" s="182">
        <f t="shared" si="25"/>
        <v>0</v>
      </c>
      <c r="AH108" s="182">
        <f t="shared" si="25"/>
        <v>0</v>
      </c>
      <c r="AI108" s="182">
        <f t="shared" si="25"/>
        <v>0</v>
      </c>
      <c r="AJ108" s="182">
        <f t="shared" si="25"/>
        <v>0</v>
      </c>
    </row>
    <row r="109" spans="2:36" s="1" customFormat="1" ht="15.75" x14ac:dyDescent="0.25">
      <c r="B109" s="188" t="s">
        <v>53</v>
      </c>
      <c r="C109" s="188"/>
      <c r="D109" s="188"/>
      <c r="E109" s="188"/>
      <c r="F109" s="182">
        <f>$F$100</f>
        <v>2500</v>
      </c>
      <c r="G109" s="189">
        <v>0</v>
      </c>
      <c r="H109" s="189">
        <v>0</v>
      </c>
      <c r="I109" s="189">
        <v>0</v>
      </c>
      <c r="J109" s="189">
        <v>0</v>
      </c>
      <c r="K109" s="189">
        <v>0</v>
      </c>
      <c r="L109" s="189">
        <v>0</v>
      </c>
      <c r="M109" s="189">
        <v>0</v>
      </c>
      <c r="N109" s="189">
        <v>0</v>
      </c>
      <c r="O109" s="189">
        <v>0</v>
      </c>
      <c r="P109" s="189">
        <v>0</v>
      </c>
      <c r="Q109" s="189">
        <v>0</v>
      </c>
      <c r="R109" s="189">
        <v>0</v>
      </c>
      <c r="S109" s="189">
        <v>0</v>
      </c>
      <c r="T109" s="189">
        <v>0</v>
      </c>
      <c r="U109" s="189">
        <v>0</v>
      </c>
      <c r="V109" s="189">
        <v>0</v>
      </c>
      <c r="W109" s="189">
        <v>0</v>
      </c>
      <c r="X109" s="189">
        <v>0</v>
      </c>
      <c r="Y109" s="189">
        <v>0</v>
      </c>
      <c r="Z109" s="189">
        <v>0</v>
      </c>
      <c r="AA109" s="189">
        <v>0</v>
      </c>
      <c r="AB109" s="189">
        <v>0</v>
      </c>
      <c r="AC109" s="189">
        <v>0</v>
      </c>
      <c r="AD109" s="189">
        <v>0</v>
      </c>
      <c r="AE109" s="189">
        <v>0</v>
      </c>
      <c r="AF109" s="189">
        <v>0</v>
      </c>
      <c r="AG109" s="189">
        <v>0</v>
      </c>
      <c r="AH109" s="189">
        <v>0</v>
      </c>
      <c r="AI109" s="189">
        <v>0</v>
      </c>
      <c r="AJ109" s="189">
        <v>0</v>
      </c>
    </row>
    <row r="110" spans="2:36" s="1" customFormat="1" ht="15.75" x14ac:dyDescent="0.25">
      <c r="B110" s="188" t="s">
        <v>68</v>
      </c>
      <c r="C110" s="188"/>
      <c r="D110" s="188"/>
      <c r="E110" s="188"/>
      <c r="F110" s="192">
        <v>0</v>
      </c>
      <c r="G110" s="193">
        <f t="shared" ref="G110:AJ110" si="26">G105</f>
        <v>-172.57372174268852</v>
      </c>
      <c r="H110" s="193">
        <f t="shared" si="26"/>
        <v>-186.37961948210364</v>
      </c>
      <c r="I110" s="193">
        <f t="shared" si="26"/>
        <v>-201.28998904067194</v>
      </c>
      <c r="J110" s="193">
        <f t="shared" si="26"/>
        <v>-217.39318816392569</v>
      </c>
      <c r="K110" s="193">
        <f t="shared" si="26"/>
        <v>-234.78464321703976</v>
      </c>
      <c r="L110" s="193">
        <f t="shared" si="26"/>
        <v>-253.56741467440295</v>
      </c>
      <c r="M110" s="193">
        <f t="shared" si="26"/>
        <v>-273.85280784835521</v>
      </c>
      <c r="N110" s="193">
        <f t="shared" si="26"/>
        <v>-295.76103247622365</v>
      </c>
      <c r="O110" s="193">
        <f t="shared" si="26"/>
        <v>-319.42191507432153</v>
      </c>
      <c r="P110" s="193">
        <f t="shared" si="26"/>
        <v>-344.97566828026731</v>
      </c>
      <c r="Q110" s="193">
        <f t="shared" si="26"/>
        <v>0</v>
      </c>
      <c r="R110" s="193">
        <f t="shared" si="26"/>
        <v>0</v>
      </c>
      <c r="S110" s="193">
        <f t="shared" si="26"/>
        <v>0</v>
      </c>
      <c r="T110" s="193">
        <f t="shared" si="26"/>
        <v>0</v>
      </c>
      <c r="U110" s="193">
        <f t="shared" si="26"/>
        <v>0</v>
      </c>
      <c r="V110" s="193">
        <f t="shared" si="26"/>
        <v>0</v>
      </c>
      <c r="W110" s="193">
        <f t="shared" si="26"/>
        <v>0</v>
      </c>
      <c r="X110" s="193">
        <f t="shared" si="26"/>
        <v>0</v>
      </c>
      <c r="Y110" s="193">
        <f t="shared" si="26"/>
        <v>0</v>
      </c>
      <c r="Z110" s="193">
        <f t="shared" si="26"/>
        <v>0</v>
      </c>
      <c r="AA110" s="193">
        <f t="shared" si="26"/>
        <v>0</v>
      </c>
      <c r="AB110" s="193">
        <f t="shared" si="26"/>
        <v>0</v>
      </c>
      <c r="AC110" s="193">
        <f t="shared" si="26"/>
        <v>0</v>
      </c>
      <c r="AD110" s="193">
        <f t="shared" si="26"/>
        <v>0</v>
      </c>
      <c r="AE110" s="193">
        <f t="shared" si="26"/>
        <v>0</v>
      </c>
      <c r="AF110" s="193">
        <f t="shared" si="26"/>
        <v>0</v>
      </c>
      <c r="AG110" s="193">
        <f t="shared" si="26"/>
        <v>0</v>
      </c>
      <c r="AH110" s="193">
        <f t="shared" si="26"/>
        <v>0</v>
      </c>
      <c r="AI110" s="193">
        <f t="shared" si="26"/>
        <v>0</v>
      </c>
      <c r="AJ110" s="193">
        <f t="shared" si="26"/>
        <v>0</v>
      </c>
    </row>
    <row r="111" spans="2:36" s="1" customFormat="1" x14ac:dyDescent="0.2">
      <c r="B111" s="188" t="s">
        <v>54</v>
      </c>
      <c r="C111" s="188"/>
      <c r="D111" s="188"/>
      <c r="E111" s="188"/>
      <c r="F111" s="182">
        <f t="shared" ref="F111:AJ111" si="27">SUM(F108:F110)</f>
        <v>2500</v>
      </c>
      <c r="G111" s="182">
        <f t="shared" si="27"/>
        <v>2327.4262782573114</v>
      </c>
      <c r="H111" s="182">
        <f t="shared" si="27"/>
        <v>2141.046658775208</v>
      </c>
      <c r="I111" s="182">
        <f t="shared" si="27"/>
        <v>1939.756669734536</v>
      </c>
      <c r="J111" s="182">
        <f t="shared" si="27"/>
        <v>1722.3634815706102</v>
      </c>
      <c r="K111" s="182">
        <f t="shared" si="27"/>
        <v>1487.5788383535705</v>
      </c>
      <c r="L111" s="182">
        <f t="shared" si="27"/>
        <v>1234.0114236791676</v>
      </c>
      <c r="M111" s="182">
        <f t="shared" si="27"/>
        <v>960.15861583081232</v>
      </c>
      <c r="N111" s="182">
        <f t="shared" si="27"/>
        <v>664.39758335458873</v>
      </c>
      <c r="O111" s="182">
        <f t="shared" si="27"/>
        <v>344.9756682802672</v>
      </c>
      <c r="P111" s="182">
        <f t="shared" si="27"/>
        <v>0</v>
      </c>
      <c r="Q111" s="182">
        <f t="shared" si="27"/>
        <v>0</v>
      </c>
      <c r="R111" s="182">
        <f t="shared" si="27"/>
        <v>0</v>
      </c>
      <c r="S111" s="182">
        <f t="shared" si="27"/>
        <v>0</v>
      </c>
      <c r="T111" s="182">
        <f t="shared" si="27"/>
        <v>0</v>
      </c>
      <c r="U111" s="182">
        <f t="shared" si="27"/>
        <v>0</v>
      </c>
      <c r="V111" s="182">
        <f t="shared" si="27"/>
        <v>0</v>
      </c>
      <c r="W111" s="182">
        <f t="shared" si="27"/>
        <v>0</v>
      </c>
      <c r="X111" s="182">
        <f t="shared" si="27"/>
        <v>0</v>
      </c>
      <c r="Y111" s="182">
        <f t="shared" si="27"/>
        <v>0</v>
      </c>
      <c r="Z111" s="182">
        <f t="shared" si="27"/>
        <v>0</v>
      </c>
      <c r="AA111" s="182">
        <f t="shared" si="27"/>
        <v>0</v>
      </c>
      <c r="AB111" s="182">
        <f t="shared" si="27"/>
        <v>0</v>
      </c>
      <c r="AC111" s="182">
        <f t="shared" si="27"/>
        <v>0</v>
      </c>
      <c r="AD111" s="182">
        <f t="shared" si="27"/>
        <v>0</v>
      </c>
      <c r="AE111" s="182">
        <f t="shared" si="27"/>
        <v>0</v>
      </c>
      <c r="AF111" s="182">
        <f t="shared" si="27"/>
        <v>0</v>
      </c>
      <c r="AG111" s="182">
        <f t="shared" si="27"/>
        <v>0</v>
      </c>
      <c r="AH111" s="182">
        <f t="shared" si="27"/>
        <v>0</v>
      </c>
      <c r="AI111" s="182">
        <f t="shared" si="27"/>
        <v>0</v>
      </c>
      <c r="AJ111" s="182">
        <f t="shared" si="27"/>
        <v>0</v>
      </c>
    </row>
    <row r="112" spans="2:36" s="1" customFormat="1" ht="15.75" thickBot="1" x14ac:dyDescent="0.25">
      <c r="B112" s="175"/>
      <c r="C112" s="175"/>
      <c r="D112" s="175"/>
      <c r="E112" s="175"/>
      <c r="F112" s="175"/>
      <c r="G112" s="175"/>
      <c r="H112" s="175"/>
      <c r="I112" s="175"/>
      <c r="J112" s="175"/>
      <c r="K112" s="175"/>
      <c r="L112" s="175"/>
      <c r="M112" s="175"/>
      <c r="N112" s="175"/>
      <c r="O112" s="175"/>
      <c r="P112" s="175"/>
      <c r="Q112" s="175"/>
      <c r="R112" s="175"/>
      <c r="S112" s="175"/>
      <c r="T112" s="175"/>
      <c r="U112" s="175"/>
      <c r="V112" s="175"/>
      <c r="W112" s="175"/>
      <c r="X112" s="175"/>
      <c r="Y112" s="175"/>
      <c r="Z112" s="175"/>
      <c r="AA112" s="175"/>
      <c r="AB112" s="175"/>
      <c r="AC112" s="175"/>
      <c r="AD112" s="175"/>
      <c r="AE112" s="175"/>
      <c r="AF112" s="175"/>
      <c r="AG112" s="175"/>
      <c r="AH112" s="175"/>
      <c r="AI112" s="175"/>
      <c r="AJ112" s="175"/>
    </row>
    <row r="113" spans="2:36" x14ac:dyDescent="0.25">
      <c r="B113" s="194"/>
      <c r="C113" s="194"/>
      <c r="D113" s="194"/>
      <c r="E113" s="194"/>
      <c r="F113" s="194"/>
      <c r="G113" s="194"/>
      <c r="H113" s="194"/>
      <c r="I113" s="194"/>
      <c r="J113" s="194"/>
      <c r="K113" s="194"/>
      <c r="L113" s="194"/>
      <c r="M113" s="194"/>
      <c r="N113" s="194"/>
      <c r="O113" s="194"/>
      <c r="P113" s="194"/>
      <c r="Q113" s="194"/>
      <c r="R113" s="194"/>
      <c r="S113" s="194"/>
      <c r="T113" s="194"/>
      <c r="U113" s="194"/>
      <c r="V113" s="194"/>
      <c r="W113" s="194"/>
      <c r="X113" s="194"/>
      <c r="Y113" s="194"/>
      <c r="Z113" s="194"/>
      <c r="AA113" s="194"/>
      <c r="AB113" s="194"/>
      <c r="AC113" s="194"/>
      <c r="AD113" s="194"/>
      <c r="AE113" s="194"/>
      <c r="AF113" s="194"/>
      <c r="AG113" s="194"/>
      <c r="AH113" s="194"/>
      <c r="AI113" s="194"/>
      <c r="AJ113" s="194"/>
    </row>
    <row r="114" spans="2:36" s="1" customFormat="1" ht="15.75" x14ac:dyDescent="0.25">
      <c r="B114" s="156" t="s">
        <v>88</v>
      </c>
      <c r="C114" s="1048" t="s">
        <v>187</v>
      </c>
      <c r="D114" s="1048"/>
      <c r="E114" s="1048"/>
      <c r="F114" s="157"/>
      <c r="G114" s="157"/>
      <c r="H114" s="157"/>
      <c r="I114" s="157"/>
      <c r="J114" s="157"/>
      <c r="K114" s="157"/>
      <c r="L114" s="157"/>
      <c r="M114" s="157"/>
      <c r="N114" s="157"/>
      <c r="O114" s="157"/>
      <c r="P114" s="157"/>
      <c r="Q114" s="157"/>
      <c r="R114" s="157"/>
      <c r="S114" s="157"/>
      <c r="T114" s="157"/>
      <c r="U114" s="157"/>
      <c r="V114" s="157"/>
      <c r="W114" s="157"/>
      <c r="X114" s="157"/>
      <c r="Y114" s="157"/>
      <c r="Z114" s="157"/>
      <c r="AA114" s="157"/>
      <c r="AB114" s="157"/>
      <c r="AC114" s="157"/>
      <c r="AD114" s="157"/>
      <c r="AE114" s="157"/>
      <c r="AF114" s="157"/>
      <c r="AG114" s="157"/>
      <c r="AH114" s="157"/>
      <c r="AI114" s="157"/>
      <c r="AJ114" s="157"/>
    </row>
    <row r="115" spans="2:36" s="1" customFormat="1" x14ac:dyDescent="0.2">
      <c r="B115" s="157" t="s">
        <v>74</v>
      </c>
      <c r="C115" s="158" t="s">
        <v>188</v>
      </c>
      <c r="D115" s="158" t="s">
        <v>189</v>
      </c>
      <c r="E115" s="158" t="s">
        <v>190</v>
      </c>
      <c r="F115" s="158">
        <v>0</v>
      </c>
      <c r="G115" s="158">
        <v>1</v>
      </c>
      <c r="H115" s="158">
        <v>2</v>
      </c>
      <c r="I115" s="158">
        <v>3</v>
      </c>
      <c r="J115" s="158">
        <v>4</v>
      </c>
      <c r="K115" s="158">
        <v>5</v>
      </c>
      <c r="L115" s="158">
        <v>6</v>
      </c>
      <c r="M115" s="158">
        <v>7</v>
      </c>
      <c r="N115" s="158">
        <v>8</v>
      </c>
      <c r="O115" s="158">
        <v>9</v>
      </c>
      <c r="P115" s="158">
        <v>10</v>
      </c>
      <c r="Q115" s="158">
        <v>11</v>
      </c>
      <c r="R115" s="158">
        <v>12</v>
      </c>
      <c r="S115" s="158">
        <v>13</v>
      </c>
      <c r="T115" s="158">
        <v>14</v>
      </c>
      <c r="U115" s="158">
        <v>15</v>
      </c>
      <c r="V115" s="158">
        <v>16</v>
      </c>
      <c r="W115" s="158">
        <v>17</v>
      </c>
      <c r="X115" s="158">
        <v>18</v>
      </c>
      <c r="Y115" s="158">
        <v>19</v>
      </c>
      <c r="Z115" s="158">
        <v>20</v>
      </c>
      <c r="AA115" s="158">
        <v>21</v>
      </c>
      <c r="AB115" s="158">
        <v>22</v>
      </c>
      <c r="AC115" s="158">
        <v>23</v>
      </c>
      <c r="AD115" s="158">
        <v>24</v>
      </c>
      <c r="AE115" s="158">
        <v>25</v>
      </c>
      <c r="AF115" s="158">
        <v>26</v>
      </c>
      <c r="AG115" s="158">
        <v>27</v>
      </c>
      <c r="AH115" s="158">
        <v>28</v>
      </c>
      <c r="AI115" s="158">
        <v>29</v>
      </c>
      <c r="AJ115" s="158">
        <v>30</v>
      </c>
    </row>
    <row r="116" spans="2:36" s="1" customFormat="1" ht="15.75" x14ac:dyDescent="0.25">
      <c r="B116" s="159" t="s">
        <v>75</v>
      </c>
      <c r="C116" s="160" t="s">
        <v>191</v>
      </c>
      <c r="D116" s="160" t="s">
        <v>80</v>
      </c>
      <c r="E116" s="160" t="s">
        <v>191</v>
      </c>
      <c r="F116" s="157"/>
      <c r="G116" s="157"/>
      <c r="H116" s="157"/>
      <c r="I116" s="157"/>
      <c r="J116" s="157"/>
      <c r="K116" s="157"/>
      <c r="L116" s="157"/>
      <c r="M116" s="157"/>
      <c r="N116" s="157"/>
      <c r="O116" s="157"/>
      <c r="P116" s="157"/>
      <c r="Q116" s="157"/>
      <c r="R116" s="157"/>
      <c r="S116" s="157"/>
      <c r="T116" s="157"/>
      <c r="U116" s="157"/>
      <c r="V116" s="157"/>
      <c r="W116" s="157"/>
      <c r="X116" s="157"/>
      <c r="Y116" s="157"/>
      <c r="Z116" s="157"/>
      <c r="AA116" s="157"/>
      <c r="AB116" s="157"/>
      <c r="AC116" s="157"/>
      <c r="AD116" s="157"/>
      <c r="AE116" s="157"/>
      <c r="AF116" s="157"/>
      <c r="AG116" s="157"/>
      <c r="AH116" s="157"/>
      <c r="AI116" s="157"/>
      <c r="AJ116" s="157"/>
    </row>
    <row r="117" spans="2:36" s="1" customFormat="1" ht="15.75" x14ac:dyDescent="0.25">
      <c r="B117" s="157" t="s">
        <v>45</v>
      </c>
      <c r="C117" s="161">
        <f>'Financial Inputs'!$G$37*'Financial Inputs'!$O$107</f>
        <v>9799.5</v>
      </c>
      <c r="D117" s="300">
        <f>IF(C121&gt;0,C117/$C$121,0)</f>
        <v>0.97409326424870468</v>
      </c>
      <c r="E117" s="161">
        <f>($C$121)*IF('Financial Inputs'!$O$20="No",1,(1-'Financial Inputs'!$O$21))*D117</f>
        <v>9799.5</v>
      </c>
      <c r="F117" s="162"/>
      <c r="G117" s="163">
        <v>0.2</v>
      </c>
      <c r="H117" s="163">
        <v>0.32</v>
      </c>
      <c r="I117" s="163">
        <v>0.192</v>
      </c>
      <c r="J117" s="163">
        <v>0.1152</v>
      </c>
      <c r="K117" s="163">
        <v>0.1152</v>
      </c>
      <c r="L117" s="163">
        <v>5.7599999999999998E-2</v>
      </c>
      <c r="M117" s="163">
        <v>0</v>
      </c>
      <c r="N117" s="163">
        <v>0</v>
      </c>
      <c r="O117" s="163">
        <v>0</v>
      </c>
      <c r="P117" s="163">
        <v>0</v>
      </c>
      <c r="Q117" s="163">
        <v>0</v>
      </c>
      <c r="R117" s="163">
        <v>0</v>
      </c>
      <c r="S117" s="163">
        <v>0</v>
      </c>
      <c r="T117" s="163">
        <v>0</v>
      </c>
      <c r="U117" s="163">
        <v>0</v>
      </c>
      <c r="V117" s="163">
        <v>0</v>
      </c>
      <c r="W117" s="163">
        <v>0</v>
      </c>
      <c r="X117" s="163">
        <v>0</v>
      </c>
      <c r="Y117" s="163">
        <v>0</v>
      </c>
      <c r="Z117" s="163">
        <v>0</v>
      </c>
      <c r="AA117" s="163">
        <v>0</v>
      </c>
      <c r="AB117" s="163">
        <v>0</v>
      </c>
      <c r="AC117" s="163">
        <v>0</v>
      </c>
      <c r="AD117" s="163">
        <v>0</v>
      </c>
      <c r="AE117" s="163">
        <v>0</v>
      </c>
      <c r="AF117" s="163">
        <v>0</v>
      </c>
      <c r="AG117" s="163">
        <v>0</v>
      </c>
      <c r="AH117" s="163">
        <v>0</v>
      </c>
      <c r="AI117" s="163">
        <v>0</v>
      </c>
      <c r="AJ117" s="163">
        <v>0</v>
      </c>
    </row>
    <row r="118" spans="2:36" s="1" customFormat="1" ht="15.75" x14ac:dyDescent="0.25">
      <c r="B118" s="157" t="s">
        <v>184</v>
      </c>
      <c r="C118" s="161"/>
      <c r="D118" s="300"/>
      <c r="E118" s="161">
        <f>($C$121)*IF('Financial Inputs'!$O$20="No",0,'Financial Inputs'!$O$21)</f>
        <v>0</v>
      </c>
      <c r="F118" s="157"/>
      <c r="G118" s="163">
        <v>1</v>
      </c>
      <c r="H118" s="163">
        <v>0</v>
      </c>
      <c r="I118" s="163">
        <v>0</v>
      </c>
      <c r="J118" s="163">
        <v>0</v>
      </c>
      <c r="K118" s="163">
        <v>0</v>
      </c>
      <c r="L118" s="163">
        <v>0</v>
      </c>
      <c r="M118" s="163">
        <v>0</v>
      </c>
      <c r="N118" s="163">
        <v>0</v>
      </c>
      <c r="O118" s="163">
        <v>0</v>
      </c>
      <c r="P118" s="163">
        <v>0</v>
      </c>
      <c r="Q118" s="163">
        <v>0</v>
      </c>
      <c r="R118" s="163">
        <v>0</v>
      </c>
      <c r="S118" s="163">
        <v>0</v>
      </c>
      <c r="T118" s="163">
        <v>0</v>
      </c>
      <c r="U118" s="163">
        <v>0</v>
      </c>
      <c r="V118" s="163">
        <v>0</v>
      </c>
      <c r="W118" s="163">
        <v>0</v>
      </c>
      <c r="X118" s="163">
        <v>0</v>
      </c>
      <c r="Y118" s="163">
        <v>0</v>
      </c>
      <c r="Z118" s="163">
        <v>0</v>
      </c>
      <c r="AA118" s="163">
        <v>0</v>
      </c>
      <c r="AB118" s="163">
        <v>0</v>
      </c>
      <c r="AC118" s="163">
        <v>0</v>
      </c>
      <c r="AD118" s="163">
        <v>0</v>
      </c>
      <c r="AE118" s="163">
        <v>0</v>
      </c>
      <c r="AF118" s="163">
        <v>0</v>
      </c>
      <c r="AG118" s="163">
        <v>0</v>
      </c>
      <c r="AH118" s="163">
        <v>0</v>
      </c>
      <c r="AI118" s="163">
        <v>0</v>
      </c>
      <c r="AJ118" s="163">
        <v>0</v>
      </c>
    </row>
    <row r="119" spans="2:36" s="1" customFormat="1" x14ac:dyDescent="0.2">
      <c r="B119" s="169" t="s">
        <v>17</v>
      </c>
      <c r="C119" s="301">
        <f>'Financial Inputs'!$G$37*'Financial Inputs'!$Y$107</f>
        <v>260.625</v>
      </c>
      <c r="D119" s="302">
        <f>IF(C121&gt;0,C119/$C$121,0)</f>
        <v>2.5906735751295335E-2</v>
      </c>
      <c r="E119" s="301">
        <f>($C$121)*IF('Financial Inputs'!$O$20="No",1,(1-'Financial Inputs'!$O$21))*D119</f>
        <v>260.625</v>
      </c>
      <c r="F119" s="157"/>
      <c r="G119" s="164"/>
      <c r="H119" s="164"/>
      <c r="I119" s="164"/>
      <c r="J119" s="164"/>
      <c r="K119" s="164"/>
      <c r="L119" s="164"/>
      <c r="M119" s="164"/>
      <c r="N119" s="164"/>
      <c r="O119" s="164"/>
      <c r="P119" s="164"/>
      <c r="Q119" s="164"/>
      <c r="R119" s="164"/>
      <c r="S119" s="164"/>
      <c r="T119" s="164"/>
      <c r="U119" s="164"/>
      <c r="V119" s="164"/>
      <c r="W119" s="164"/>
      <c r="X119" s="164"/>
      <c r="Y119" s="164"/>
      <c r="Z119" s="164"/>
      <c r="AA119" s="164"/>
      <c r="AB119" s="164"/>
      <c r="AC119" s="164"/>
      <c r="AD119" s="164"/>
      <c r="AE119" s="164"/>
      <c r="AF119" s="164"/>
      <c r="AG119" s="164"/>
      <c r="AH119" s="164"/>
      <c r="AI119" s="164"/>
      <c r="AJ119" s="164"/>
    </row>
    <row r="120" spans="2:36" s="1" customFormat="1" ht="15.75" x14ac:dyDescent="0.25">
      <c r="B120" s="219"/>
      <c r="C120" s="299" t="s">
        <v>192</v>
      </c>
      <c r="D120" s="299"/>
      <c r="E120" s="299" t="s">
        <v>193</v>
      </c>
      <c r="F120" s="157"/>
      <c r="G120" s="164"/>
      <c r="H120" s="164"/>
      <c r="I120" s="164"/>
      <c r="J120" s="164"/>
      <c r="K120" s="164"/>
      <c r="L120" s="164"/>
      <c r="M120" s="164"/>
      <c r="N120" s="164"/>
      <c r="O120" s="164"/>
      <c r="P120" s="164"/>
      <c r="Q120" s="164"/>
      <c r="R120" s="164"/>
      <c r="S120" s="164"/>
      <c r="T120" s="164"/>
      <c r="U120" s="164"/>
      <c r="V120" s="164"/>
      <c r="W120" s="164"/>
      <c r="X120" s="164"/>
      <c r="Y120" s="164"/>
      <c r="Z120" s="164"/>
      <c r="AA120" s="164"/>
      <c r="AB120" s="164"/>
      <c r="AC120" s="164"/>
      <c r="AD120" s="164"/>
      <c r="AE120" s="164"/>
      <c r="AF120" s="164"/>
      <c r="AG120" s="164"/>
      <c r="AH120" s="164"/>
      <c r="AI120" s="164"/>
      <c r="AJ120" s="164"/>
    </row>
    <row r="121" spans="2:36" s="1" customFormat="1" ht="15.75" x14ac:dyDescent="0.25">
      <c r="B121" s="156" t="s">
        <v>194</v>
      </c>
      <c r="C121" s="166">
        <f>SUM(C117:C119)</f>
        <v>10060.125</v>
      </c>
      <c r="D121" s="300">
        <f>SUM(D117:D119)</f>
        <v>1</v>
      </c>
      <c r="E121" s="166">
        <f>SUM(E117:E119)</f>
        <v>10060.125</v>
      </c>
      <c r="F121" s="157"/>
      <c r="G121" s="164"/>
      <c r="H121" s="164"/>
      <c r="I121" s="164"/>
      <c r="J121" s="164"/>
      <c r="K121" s="164"/>
      <c r="L121" s="164"/>
      <c r="M121" s="164"/>
      <c r="N121" s="164"/>
      <c r="O121" s="164"/>
      <c r="P121" s="164"/>
      <c r="Q121" s="164"/>
      <c r="R121" s="164"/>
      <c r="S121" s="164"/>
      <c r="T121" s="164"/>
      <c r="U121" s="164"/>
      <c r="V121" s="164"/>
      <c r="W121" s="164"/>
      <c r="X121" s="164"/>
      <c r="Y121" s="164"/>
      <c r="Z121" s="164"/>
      <c r="AA121" s="164"/>
      <c r="AB121" s="164"/>
      <c r="AC121" s="164"/>
      <c r="AD121" s="164"/>
      <c r="AE121" s="164"/>
      <c r="AF121" s="164"/>
      <c r="AG121" s="164"/>
      <c r="AH121" s="164"/>
      <c r="AI121" s="164"/>
      <c r="AJ121" s="164"/>
    </row>
    <row r="122" spans="2:36" s="1" customFormat="1" x14ac:dyDescent="0.2">
      <c r="B122" s="157"/>
      <c r="C122" s="157"/>
      <c r="D122" s="157"/>
      <c r="E122" s="161"/>
      <c r="F122" s="157"/>
      <c r="G122" s="164"/>
      <c r="H122" s="164"/>
      <c r="I122" s="164"/>
      <c r="J122" s="164"/>
      <c r="K122" s="164"/>
      <c r="L122" s="164"/>
      <c r="M122" s="164"/>
      <c r="N122" s="164"/>
      <c r="O122" s="164"/>
      <c r="P122" s="164"/>
      <c r="Q122" s="164"/>
      <c r="R122" s="164"/>
      <c r="S122" s="164"/>
      <c r="T122" s="164"/>
      <c r="U122" s="164"/>
      <c r="V122" s="164"/>
      <c r="W122" s="164"/>
      <c r="X122" s="164"/>
      <c r="Y122" s="164"/>
      <c r="Z122" s="164"/>
      <c r="AA122" s="164"/>
      <c r="AB122" s="164"/>
      <c r="AC122" s="164"/>
      <c r="AD122" s="164"/>
      <c r="AE122" s="164"/>
      <c r="AF122" s="164"/>
      <c r="AG122" s="164"/>
      <c r="AH122" s="164"/>
      <c r="AI122" s="164"/>
      <c r="AJ122" s="164"/>
    </row>
    <row r="123" spans="2:36" s="1" customFormat="1" ht="15.75" x14ac:dyDescent="0.25">
      <c r="B123" s="159" t="s">
        <v>89</v>
      </c>
      <c r="C123" s="159"/>
      <c r="D123" s="159"/>
      <c r="E123" s="157"/>
      <c r="F123" s="157"/>
      <c r="G123" s="164"/>
      <c r="H123" s="164"/>
      <c r="I123" s="164"/>
      <c r="J123" s="164"/>
      <c r="K123" s="164"/>
      <c r="L123" s="164"/>
      <c r="M123" s="164"/>
      <c r="N123" s="164"/>
      <c r="O123" s="164"/>
      <c r="P123" s="164"/>
      <c r="Q123" s="164"/>
      <c r="R123" s="164"/>
      <c r="S123" s="164"/>
      <c r="T123" s="164"/>
      <c r="U123" s="164"/>
      <c r="V123" s="164"/>
      <c r="W123" s="164"/>
      <c r="X123" s="164"/>
      <c r="Y123" s="164"/>
      <c r="Z123" s="164"/>
      <c r="AA123" s="164"/>
      <c r="AB123" s="164"/>
      <c r="AC123" s="164"/>
      <c r="AD123" s="164"/>
      <c r="AE123" s="164"/>
      <c r="AF123" s="164"/>
      <c r="AG123" s="164"/>
      <c r="AH123" s="164"/>
      <c r="AI123" s="164"/>
      <c r="AJ123" s="164"/>
    </row>
    <row r="124" spans="2:36" s="1" customFormat="1" x14ac:dyDescent="0.2">
      <c r="B124" s="157" t="s">
        <v>46</v>
      </c>
      <c r="C124" s="157"/>
      <c r="D124" s="157"/>
      <c r="E124" s="165" t="s">
        <v>81</v>
      </c>
      <c r="F124" s="166"/>
      <c r="G124" s="157"/>
      <c r="H124" s="157"/>
      <c r="I124" s="157"/>
      <c r="J124" s="157"/>
      <c r="K124" s="157"/>
      <c r="L124" s="157"/>
      <c r="M124" s="157"/>
      <c r="N124" s="157"/>
      <c r="O124" s="157"/>
      <c r="P124" s="157"/>
      <c r="Q124" s="157"/>
      <c r="R124" s="157"/>
      <c r="S124" s="157"/>
      <c r="T124" s="157"/>
      <c r="U124" s="157"/>
      <c r="V124" s="157"/>
      <c r="W124" s="157"/>
      <c r="X124" s="157"/>
      <c r="Y124" s="157"/>
      <c r="Z124" s="157"/>
      <c r="AA124" s="157"/>
      <c r="AB124" s="157"/>
      <c r="AC124" s="157"/>
      <c r="AD124" s="157"/>
      <c r="AE124" s="157"/>
      <c r="AF124" s="157"/>
      <c r="AG124" s="157"/>
      <c r="AH124" s="157"/>
      <c r="AI124" s="157"/>
      <c r="AJ124" s="157"/>
    </row>
    <row r="125" spans="2:36" s="1" customFormat="1" x14ac:dyDescent="0.2">
      <c r="B125" s="157" t="s">
        <v>45</v>
      </c>
      <c r="C125" s="157"/>
      <c r="D125" s="157"/>
      <c r="E125" s="166">
        <f>SUM(G125:AJ125)</f>
        <v>9799.5</v>
      </c>
      <c r="F125" s="166"/>
      <c r="G125" s="167">
        <f t="shared" ref="G125:AJ125" si="28">$E117*G117</f>
        <v>1959.9</v>
      </c>
      <c r="H125" s="167">
        <f t="shared" si="28"/>
        <v>3135.84</v>
      </c>
      <c r="I125" s="167">
        <f t="shared" si="28"/>
        <v>1881.5040000000001</v>
      </c>
      <c r="J125" s="167">
        <f t="shared" si="28"/>
        <v>1128.9023999999999</v>
      </c>
      <c r="K125" s="167">
        <f t="shared" si="28"/>
        <v>1128.9023999999999</v>
      </c>
      <c r="L125" s="167">
        <f t="shared" si="28"/>
        <v>564.45119999999997</v>
      </c>
      <c r="M125" s="167">
        <f t="shared" si="28"/>
        <v>0</v>
      </c>
      <c r="N125" s="167">
        <f t="shared" si="28"/>
        <v>0</v>
      </c>
      <c r="O125" s="167">
        <f t="shared" si="28"/>
        <v>0</v>
      </c>
      <c r="P125" s="167">
        <f t="shared" si="28"/>
        <v>0</v>
      </c>
      <c r="Q125" s="167">
        <f t="shared" si="28"/>
        <v>0</v>
      </c>
      <c r="R125" s="167">
        <f t="shared" si="28"/>
        <v>0</v>
      </c>
      <c r="S125" s="167">
        <f t="shared" si="28"/>
        <v>0</v>
      </c>
      <c r="T125" s="167">
        <f t="shared" si="28"/>
        <v>0</v>
      </c>
      <c r="U125" s="167">
        <f t="shared" si="28"/>
        <v>0</v>
      </c>
      <c r="V125" s="167">
        <f t="shared" si="28"/>
        <v>0</v>
      </c>
      <c r="W125" s="167">
        <f t="shared" si="28"/>
        <v>0</v>
      </c>
      <c r="X125" s="167">
        <f t="shared" si="28"/>
        <v>0</v>
      </c>
      <c r="Y125" s="167">
        <f t="shared" si="28"/>
        <v>0</v>
      </c>
      <c r="Z125" s="167">
        <f t="shared" si="28"/>
        <v>0</v>
      </c>
      <c r="AA125" s="167">
        <f t="shared" si="28"/>
        <v>0</v>
      </c>
      <c r="AB125" s="167">
        <f t="shared" si="28"/>
        <v>0</v>
      </c>
      <c r="AC125" s="167">
        <f t="shared" si="28"/>
        <v>0</v>
      </c>
      <c r="AD125" s="167">
        <f t="shared" si="28"/>
        <v>0</v>
      </c>
      <c r="AE125" s="167">
        <f t="shared" si="28"/>
        <v>0</v>
      </c>
      <c r="AF125" s="167">
        <f t="shared" si="28"/>
        <v>0</v>
      </c>
      <c r="AG125" s="167">
        <f t="shared" si="28"/>
        <v>0</v>
      </c>
      <c r="AH125" s="167">
        <f t="shared" si="28"/>
        <v>0</v>
      </c>
      <c r="AI125" s="167">
        <f t="shared" si="28"/>
        <v>0</v>
      </c>
      <c r="AJ125" s="167">
        <f t="shared" si="28"/>
        <v>0</v>
      </c>
    </row>
    <row r="126" spans="2:36" s="1" customFormat="1" x14ac:dyDescent="0.2">
      <c r="B126" s="157" t="s">
        <v>184</v>
      </c>
      <c r="C126" s="157"/>
      <c r="D126" s="157"/>
      <c r="E126" s="166">
        <f t="shared" ref="E126" si="29">SUM(G126:AJ126)</f>
        <v>0</v>
      </c>
      <c r="F126" s="166"/>
      <c r="G126" s="167">
        <f t="shared" ref="G126:AJ126" si="30">$E118*G118</f>
        <v>0</v>
      </c>
      <c r="H126" s="167">
        <f t="shared" si="30"/>
        <v>0</v>
      </c>
      <c r="I126" s="167">
        <f t="shared" si="30"/>
        <v>0</v>
      </c>
      <c r="J126" s="167">
        <f t="shared" si="30"/>
        <v>0</v>
      </c>
      <c r="K126" s="167">
        <f t="shared" si="30"/>
        <v>0</v>
      </c>
      <c r="L126" s="167">
        <f t="shared" si="30"/>
        <v>0</v>
      </c>
      <c r="M126" s="167">
        <f t="shared" si="30"/>
        <v>0</v>
      </c>
      <c r="N126" s="167">
        <f t="shared" si="30"/>
        <v>0</v>
      </c>
      <c r="O126" s="167">
        <f t="shared" si="30"/>
        <v>0</v>
      </c>
      <c r="P126" s="167">
        <f t="shared" si="30"/>
        <v>0</v>
      </c>
      <c r="Q126" s="167">
        <f t="shared" si="30"/>
        <v>0</v>
      </c>
      <c r="R126" s="167">
        <f t="shared" si="30"/>
        <v>0</v>
      </c>
      <c r="S126" s="167">
        <f t="shared" si="30"/>
        <v>0</v>
      </c>
      <c r="T126" s="167">
        <f t="shared" si="30"/>
        <v>0</v>
      </c>
      <c r="U126" s="167">
        <f t="shared" si="30"/>
        <v>0</v>
      </c>
      <c r="V126" s="167">
        <f t="shared" si="30"/>
        <v>0</v>
      </c>
      <c r="W126" s="167">
        <f t="shared" si="30"/>
        <v>0</v>
      </c>
      <c r="X126" s="167">
        <f t="shared" si="30"/>
        <v>0</v>
      </c>
      <c r="Y126" s="167">
        <f t="shared" si="30"/>
        <v>0</v>
      </c>
      <c r="Z126" s="167">
        <f t="shared" si="30"/>
        <v>0</v>
      </c>
      <c r="AA126" s="167">
        <f t="shared" si="30"/>
        <v>0</v>
      </c>
      <c r="AB126" s="167">
        <f t="shared" si="30"/>
        <v>0</v>
      </c>
      <c r="AC126" s="167">
        <f t="shared" si="30"/>
        <v>0</v>
      </c>
      <c r="AD126" s="167">
        <f t="shared" si="30"/>
        <v>0</v>
      </c>
      <c r="AE126" s="167">
        <f t="shared" si="30"/>
        <v>0</v>
      </c>
      <c r="AF126" s="167">
        <f t="shared" si="30"/>
        <v>0</v>
      </c>
      <c r="AG126" s="167">
        <f t="shared" si="30"/>
        <v>0</v>
      </c>
      <c r="AH126" s="167">
        <f t="shared" si="30"/>
        <v>0</v>
      </c>
      <c r="AI126" s="167">
        <f t="shared" si="30"/>
        <v>0</v>
      </c>
      <c r="AJ126" s="167">
        <f t="shared" si="30"/>
        <v>0</v>
      </c>
    </row>
    <row r="127" spans="2:36" s="1" customFormat="1" x14ac:dyDescent="0.2">
      <c r="B127" s="169" t="s">
        <v>17</v>
      </c>
      <c r="C127" s="169"/>
      <c r="D127" s="169"/>
      <c r="E127" s="170">
        <f>E119</f>
        <v>260.625</v>
      </c>
      <c r="F127" s="166"/>
      <c r="G127" s="168"/>
      <c r="H127" s="168"/>
      <c r="I127" s="168"/>
      <c r="J127" s="168"/>
      <c r="K127" s="168"/>
      <c r="L127" s="168"/>
      <c r="M127" s="168"/>
      <c r="N127" s="168"/>
      <c r="O127" s="168"/>
      <c r="P127" s="168"/>
      <c r="Q127" s="168"/>
      <c r="R127" s="168"/>
      <c r="S127" s="168"/>
      <c r="T127" s="168"/>
      <c r="U127" s="168"/>
      <c r="V127" s="168"/>
      <c r="W127" s="168"/>
      <c r="X127" s="168"/>
      <c r="Y127" s="168"/>
      <c r="Z127" s="168"/>
      <c r="AA127" s="168"/>
      <c r="AB127" s="168"/>
      <c r="AC127" s="168"/>
      <c r="AD127" s="168"/>
      <c r="AE127" s="168"/>
      <c r="AF127" s="168"/>
      <c r="AG127" s="168"/>
      <c r="AH127" s="168"/>
      <c r="AI127" s="168"/>
      <c r="AJ127" s="168"/>
    </row>
    <row r="128" spans="2:36" s="1" customFormat="1" x14ac:dyDescent="0.2">
      <c r="B128" s="157" t="s">
        <v>47</v>
      </c>
      <c r="C128" s="157"/>
      <c r="D128" s="157"/>
      <c r="E128" s="166">
        <f>SUM(E125:E127)</f>
        <v>10060.125</v>
      </c>
      <c r="F128" s="171" t="str">
        <f>IF(ROUND(E128,0)=ROUND(E121,0),"OK","error")</f>
        <v>OK</v>
      </c>
      <c r="G128" s="168"/>
      <c r="H128" s="168"/>
      <c r="I128" s="168"/>
      <c r="J128" s="168"/>
      <c r="K128" s="168"/>
      <c r="L128" s="168"/>
      <c r="M128" s="168"/>
      <c r="N128" s="168"/>
      <c r="O128" s="168"/>
      <c r="P128" s="168"/>
      <c r="Q128" s="168"/>
      <c r="R128" s="168"/>
      <c r="S128" s="168"/>
      <c r="T128" s="168"/>
      <c r="U128" s="168"/>
      <c r="V128" s="168"/>
      <c r="W128" s="168"/>
      <c r="X128" s="168"/>
      <c r="Y128" s="168"/>
      <c r="Z128" s="168"/>
      <c r="AA128" s="168"/>
      <c r="AB128" s="168"/>
      <c r="AC128" s="168"/>
      <c r="AD128" s="168"/>
      <c r="AE128" s="168"/>
      <c r="AF128" s="168"/>
      <c r="AG128" s="168"/>
      <c r="AH128" s="168"/>
      <c r="AI128" s="168"/>
      <c r="AJ128" s="168"/>
    </row>
    <row r="129" spans="2:36" s="1" customFormat="1" x14ac:dyDescent="0.2">
      <c r="B129" s="157"/>
      <c r="C129" s="157"/>
      <c r="D129" s="157"/>
      <c r="E129" s="166"/>
      <c r="F129" s="171"/>
      <c r="G129" s="168"/>
      <c r="H129" s="168"/>
      <c r="I129" s="168"/>
      <c r="J129" s="168"/>
      <c r="K129" s="168"/>
      <c r="L129" s="168"/>
      <c r="M129" s="168"/>
      <c r="N129" s="168"/>
      <c r="O129" s="168"/>
      <c r="P129" s="168"/>
      <c r="Q129" s="168"/>
      <c r="R129" s="168"/>
      <c r="S129" s="168"/>
      <c r="T129" s="168"/>
      <c r="U129" s="168"/>
      <c r="V129" s="168"/>
      <c r="W129" s="168"/>
      <c r="X129" s="168"/>
      <c r="Y129" s="168"/>
      <c r="Z129" s="168"/>
      <c r="AA129" s="168"/>
      <c r="AB129" s="168"/>
      <c r="AC129" s="168"/>
      <c r="AD129" s="168"/>
      <c r="AE129" s="168"/>
      <c r="AF129" s="168"/>
      <c r="AG129" s="168"/>
      <c r="AH129" s="168"/>
      <c r="AI129" s="168"/>
      <c r="AJ129" s="168"/>
    </row>
    <row r="130" spans="2:36" s="1" customFormat="1" ht="15.75" x14ac:dyDescent="0.25">
      <c r="B130" s="159" t="s">
        <v>90</v>
      </c>
      <c r="C130" s="159"/>
      <c r="D130" s="159"/>
      <c r="E130" s="166"/>
      <c r="F130" s="171"/>
      <c r="G130" s="168"/>
      <c r="H130" s="168"/>
      <c r="I130" s="168"/>
      <c r="J130" s="168"/>
      <c r="K130" s="168"/>
      <c r="L130" s="168"/>
      <c r="M130" s="168"/>
      <c r="N130" s="168"/>
      <c r="O130" s="168"/>
      <c r="P130" s="168"/>
      <c r="Q130" s="168"/>
      <c r="R130" s="168"/>
      <c r="S130" s="168"/>
      <c r="T130" s="168"/>
      <c r="U130" s="168"/>
      <c r="V130" s="168"/>
      <c r="W130" s="168"/>
      <c r="X130" s="168"/>
      <c r="Y130" s="168"/>
      <c r="Z130" s="168"/>
      <c r="AA130" s="168"/>
      <c r="AB130" s="168"/>
      <c r="AC130" s="168"/>
      <c r="AD130" s="168"/>
      <c r="AE130" s="168"/>
      <c r="AF130" s="168"/>
      <c r="AG130" s="168"/>
      <c r="AH130" s="168"/>
      <c r="AI130" s="168"/>
      <c r="AJ130" s="168"/>
    </row>
    <row r="131" spans="2:36" s="1" customFormat="1" x14ac:dyDescent="0.2">
      <c r="B131" s="157" t="s">
        <v>376</v>
      </c>
      <c r="C131" s="157"/>
      <c r="D131" s="157"/>
      <c r="E131" s="166"/>
      <c r="F131" s="171"/>
      <c r="G131" s="168">
        <f>IF('Financial Inputs'!$G$9='Detailed Cash Flow'!G2,'Financial Inputs'!$P$76,0)</f>
        <v>0</v>
      </c>
      <c r="H131" s="168">
        <f>IF('Financial Inputs'!$G$9='Detailed Cash Flow'!H2,'Financial Inputs'!$P$76,0)</f>
        <v>0</v>
      </c>
      <c r="I131" s="168">
        <f>IF('Financial Inputs'!$G$9='Detailed Cash Flow'!I2,'Financial Inputs'!$P$76,0)</f>
        <v>0</v>
      </c>
      <c r="J131" s="168">
        <f>IF('Financial Inputs'!$G$9='Detailed Cash Flow'!J2,'Financial Inputs'!$P$76,0)</f>
        <v>0</v>
      </c>
      <c r="K131" s="168">
        <f>IF('Financial Inputs'!$G$9='Detailed Cash Flow'!K2,'Financial Inputs'!$P$76,0)</f>
        <v>0</v>
      </c>
      <c r="L131" s="168">
        <f>IF('Financial Inputs'!$G$9='Detailed Cash Flow'!L2,'Financial Inputs'!$P$76,0)</f>
        <v>0</v>
      </c>
      <c r="M131" s="168">
        <f>IF('Financial Inputs'!$G$9='Detailed Cash Flow'!M2,'Financial Inputs'!$P$76,0)</f>
        <v>0</v>
      </c>
      <c r="N131" s="168">
        <f>IF('Financial Inputs'!$G$9='Detailed Cash Flow'!N2,'Financial Inputs'!$P$76,0)</f>
        <v>0</v>
      </c>
      <c r="O131" s="168">
        <f>IF('Financial Inputs'!$G$9='Detailed Cash Flow'!O2,'Financial Inputs'!$P$76,0)</f>
        <v>0</v>
      </c>
      <c r="P131" s="168">
        <f>IF('Financial Inputs'!$G$9='Detailed Cash Flow'!P2,'Financial Inputs'!$P$76,0)</f>
        <v>0</v>
      </c>
      <c r="Q131" s="168">
        <f>IF('Financial Inputs'!$G$9='Detailed Cash Flow'!Q2,'Financial Inputs'!$P$76,0)</f>
        <v>0</v>
      </c>
      <c r="R131" s="168">
        <f>IF('Financial Inputs'!$G$9='Detailed Cash Flow'!R2,'Financial Inputs'!$P$76,0)</f>
        <v>0</v>
      </c>
      <c r="S131" s="168">
        <f>IF('Financial Inputs'!$G$9='Detailed Cash Flow'!S2,'Financial Inputs'!$P$76,0)</f>
        <v>0</v>
      </c>
      <c r="T131" s="168">
        <f>IF('Financial Inputs'!$G$9='Detailed Cash Flow'!T2,'Financial Inputs'!$P$76,0)</f>
        <v>0</v>
      </c>
      <c r="U131" s="168">
        <f>IF('Financial Inputs'!$G$9='Detailed Cash Flow'!U2,'Financial Inputs'!$P$76,0)</f>
        <v>0</v>
      </c>
      <c r="V131" s="168">
        <f>IF('Financial Inputs'!$G$9='Detailed Cash Flow'!V2,'Financial Inputs'!$P$76,0)</f>
        <v>0</v>
      </c>
      <c r="W131" s="168">
        <f>IF('Financial Inputs'!$G$9='Detailed Cash Flow'!W2,'Financial Inputs'!$P$76,0)</f>
        <v>0</v>
      </c>
      <c r="X131" s="168">
        <f>IF('Financial Inputs'!$G$9='Detailed Cash Flow'!X2,'Financial Inputs'!$P$76,0)</f>
        <v>0</v>
      </c>
      <c r="Y131" s="168">
        <f>IF('Financial Inputs'!$G$9='Detailed Cash Flow'!Y2,'Financial Inputs'!$P$76,0)</f>
        <v>0</v>
      </c>
      <c r="Z131" s="168">
        <f>IF('Financial Inputs'!$G$9='Detailed Cash Flow'!Z2,'Financial Inputs'!$P$76,0)</f>
        <v>10000</v>
      </c>
      <c r="AA131" s="168">
        <f>IF('Financial Inputs'!$G$9='Detailed Cash Flow'!AA2,'Financial Inputs'!$P$76,0)</f>
        <v>0</v>
      </c>
      <c r="AB131" s="168">
        <f>IF('Financial Inputs'!$G$9='Detailed Cash Flow'!AB2,'Financial Inputs'!$P$76,0)</f>
        <v>0</v>
      </c>
      <c r="AC131" s="168">
        <f>IF('Financial Inputs'!$G$9='Detailed Cash Flow'!AC2,'Financial Inputs'!$P$76,0)</f>
        <v>0</v>
      </c>
      <c r="AD131" s="168">
        <f>IF('Financial Inputs'!$G$9='Detailed Cash Flow'!AD2,'Financial Inputs'!$P$76,0)</f>
        <v>0</v>
      </c>
      <c r="AE131" s="168">
        <f>IF('Financial Inputs'!$G$9='Detailed Cash Flow'!AE2,'Financial Inputs'!$P$76,0)</f>
        <v>0</v>
      </c>
      <c r="AF131" s="168">
        <f>IF('Financial Inputs'!$G$9='Detailed Cash Flow'!AF2,'Financial Inputs'!$P$76,0)</f>
        <v>0</v>
      </c>
      <c r="AG131" s="168">
        <f>IF('Financial Inputs'!$G$9='Detailed Cash Flow'!AG2,'Financial Inputs'!$P$76,0)</f>
        <v>0</v>
      </c>
      <c r="AH131" s="168">
        <f>IF('Financial Inputs'!$G$9='Detailed Cash Flow'!AH2,'Financial Inputs'!$P$76,0)</f>
        <v>0</v>
      </c>
      <c r="AI131" s="168">
        <f>IF('Financial Inputs'!$G$9='Detailed Cash Flow'!AI2,'Financial Inputs'!$P$76,0)</f>
        <v>0</v>
      </c>
      <c r="AJ131" s="168">
        <f>IF('Financial Inputs'!$G$9='Detailed Cash Flow'!AJ2,'Financial Inputs'!$P$76,0)</f>
        <v>0</v>
      </c>
    </row>
    <row r="132" spans="2:36" s="1" customFormat="1" x14ac:dyDescent="0.2">
      <c r="B132" s="157" t="s">
        <v>135</v>
      </c>
      <c r="C132" s="157"/>
      <c r="D132" s="157"/>
      <c r="E132" s="166"/>
      <c r="F132" s="196"/>
      <c r="G132" s="172">
        <f>IF(AND('Financial Inputs'!$P$11="Yes",G$2&lt;='Financial Inputs'!$G$9),SUM('Detailed Cash Flow'!G125:G126)+G131,0)</f>
        <v>1959.9</v>
      </c>
      <c r="H132" s="172">
        <f>IF(AND('Financial Inputs'!$P$11="Yes",H$2&lt;='Financial Inputs'!$G$9),SUM('Detailed Cash Flow'!H125:H126)+H131,0)</f>
        <v>3135.84</v>
      </c>
      <c r="I132" s="172">
        <f>IF(AND('Financial Inputs'!$P$11="Yes",I$2&lt;='Financial Inputs'!$G$9),SUM('Detailed Cash Flow'!I125:I126)+I131,0)</f>
        <v>1881.5040000000001</v>
      </c>
      <c r="J132" s="172">
        <f>IF(AND('Financial Inputs'!$P$11="Yes",J$2&lt;='Financial Inputs'!$G$9),SUM('Detailed Cash Flow'!J125:J126)+J131,0)</f>
        <v>1128.9023999999999</v>
      </c>
      <c r="K132" s="172">
        <f>IF(AND('Financial Inputs'!$P$11="Yes",K$2&lt;='Financial Inputs'!$G$9),SUM('Detailed Cash Flow'!K125:K126)+K131,0)</f>
        <v>1128.9023999999999</v>
      </c>
      <c r="L132" s="172">
        <f>IF(AND('Financial Inputs'!$P$11="Yes",L$2&lt;='Financial Inputs'!$G$9),SUM('Detailed Cash Flow'!L125:L126)+L131,0)</f>
        <v>564.45119999999997</v>
      </c>
      <c r="M132" s="172">
        <f>IF(AND('Financial Inputs'!$P$11="Yes",M$2&lt;='Financial Inputs'!$G$9),SUM('Detailed Cash Flow'!M125:M126)+M131,0)</f>
        <v>0</v>
      </c>
      <c r="N132" s="172">
        <f>IF(AND('Financial Inputs'!$P$11="Yes",N$2&lt;='Financial Inputs'!$G$9),SUM('Detailed Cash Flow'!N125:N126)+N131,0)</f>
        <v>0</v>
      </c>
      <c r="O132" s="172">
        <f>IF(AND('Financial Inputs'!$P$11="Yes",O$2&lt;='Financial Inputs'!$G$9),SUM('Detailed Cash Flow'!O125:O126)+O131,0)</f>
        <v>0</v>
      </c>
      <c r="P132" s="172">
        <f>IF(AND('Financial Inputs'!$P$11="Yes",P$2&lt;='Financial Inputs'!$G$9),SUM('Detailed Cash Flow'!P125:P126)+P131,0)</f>
        <v>0</v>
      </c>
      <c r="Q132" s="172">
        <f>IF(AND('Financial Inputs'!$P$11="Yes",Q$2&lt;='Financial Inputs'!$G$9),SUM('Detailed Cash Flow'!Q125:Q126)+Q131,0)</f>
        <v>0</v>
      </c>
      <c r="R132" s="172">
        <f>IF(AND('Financial Inputs'!$P$11="Yes",R$2&lt;='Financial Inputs'!$G$9),SUM('Detailed Cash Flow'!R125:R126)+R131,0)</f>
        <v>0</v>
      </c>
      <c r="S132" s="172">
        <f>IF(AND('Financial Inputs'!$P$11="Yes",S$2&lt;='Financial Inputs'!$G$9),SUM('Detailed Cash Flow'!S125:S126)+S131,0)</f>
        <v>0</v>
      </c>
      <c r="T132" s="172">
        <f>IF(AND('Financial Inputs'!$P$11="Yes",T$2&lt;='Financial Inputs'!$G$9),SUM('Detailed Cash Flow'!T125:T126)+T131,0)</f>
        <v>0</v>
      </c>
      <c r="U132" s="172">
        <f>IF(AND('Financial Inputs'!$P$11="Yes",U$2&lt;='Financial Inputs'!$G$9),SUM('Detailed Cash Flow'!U125:U126)+U131,0)</f>
        <v>0</v>
      </c>
      <c r="V132" s="172">
        <f>IF(AND('Financial Inputs'!$P$11="Yes",V$2&lt;='Financial Inputs'!$G$9),SUM('Detailed Cash Flow'!V125:V126)+V131,0)</f>
        <v>0</v>
      </c>
      <c r="W132" s="172">
        <f>IF(AND('Financial Inputs'!$P$11="Yes",W$2&lt;='Financial Inputs'!$G$9),SUM('Detailed Cash Flow'!W125:W126)+W131,0)</f>
        <v>0</v>
      </c>
      <c r="X132" s="172">
        <f>IF(AND('Financial Inputs'!$P$11="Yes",X$2&lt;='Financial Inputs'!$G$9),SUM('Detailed Cash Flow'!X125:X126)+X131,0)</f>
        <v>0</v>
      </c>
      <c r="Y132" s="172">
        <f>IF(AND('Financial Inputs'!$P$11="Yes",Y$2&lt;='Financial Inputs'!$G$9),SUM('Detailed Cash Flow'!Y125:Y126)+Y131,0)</f>
        <v>0</v>
      </c>
      <c r="Z132" s="172">
        <f>IF(AND('Financial Inputs'!$P$11="Yes",Z$2&lt;='Financial Inputs'!$G$9),SUM('Detailed Cash Flow'!Z125:Z126)+Z131,0)</f>
        <v>10000</v>
      </c>
      <c r="AA132" s="172">
        <f>IF(AND('Financial Inputs'!$P$11="Yes",AA$2&lt;='Financial Inputs'!$G$9),SUM('Detailed Cash Flow'!AA125:AA126)+AA131,0)</f>
        <v>0</v>
      </c>
      <c r="AB132" s="172">
        <f>IF(AND('Financial Inputs'!$P$11="Yes",AB$2&lt;='Financial Inputs'!$G$9),SUM('Detailed Cash Flow'!AB125:AB126)+AB131,0)</f>
        <v>0</v>
      </c>
      <c r="AC132" s="172">
        <f>IF(AND('Financial Inputs'!$P$11="Yes",AC$2&lt;='Financial Inputs'!$G$9),SUM('Detailed Cash Flow'!AC125:AC126)+AC131,0)</f>
        <v>0</v>
      </c>
      <c r="AD132" s="172">
        <f>IF(AND('Financial Inputs'!$P$11="Yes",AD$2&lt;='Financial Inputs'!$G$9),SUM('Detailed Cash Flow'!AD125:AD126)+AD131,0)</f>
        <v>0</v>
      </c>
      <c r="AE132" s="172">
        <f>IF(AND('Financial Inputs'!$P$11="Yes",AE$2&lt;='Financial Inputs'!$G$9),SUM('Detailed Cash Flow'!AE125:AE126)+AE131,0)</f>
        <v>0</v>
      </c>
      <c r="AF132" s="172">
        <f>IF(AND('Financial Inputs'!$P$11="Yes",AF$2&lt;='Financial Inputs'!$G$9),SUM('Detailed Cash Flow'!AF125:AF126)+AF131,0)</f>
        <v>0</v>
      </c>
      <c r="AG132" s="172">
        <f>IF(AND('Financial Inputs'!$P$11="Yes",AG$2&lt;='Financial Inputs'!$G$9),SUM('Detailed Cash Flow'!AG125:AG126)+AG131,0)</f>
        <v>0</v>
      </c>
      <c r="AH132" s="172">
        <f>IF(AND('Financial Inputs'!$P$11="Yes",AH$2&lt;='Financial Inputs'!$G$9),SUM('Detailed Cash Flow'!AH125:AH126)+AH131,0)</f>
        <v>0</v>
      </c>
      <c r="AI132" s="172">
        <f>IF(AND('Financial Inputs'!$P$11="Yes",AI$2&lt;='Financial Inputs'!$G$9),SUM('Detailed Cash Flow'!AI125:AI126)+AI131,0)</f>
        <v>0</v>
      </c>
      <c r="AJ132" s="172">
        <f>IF(AND('Financial Inputs'!$P$11="Yes",AJ$2&lt;='Financial Inputs'!$G$9),SUM('Detailed Cash Flow'!AJ125:AJ126)+AJ131,0)</f>
        <v>0</v>
      </c>
    </row>
    <row r="133" spans="2:36" s="1" customFormat="1" x14ac:dyDescent="0.2">
      <c r="B133" s="157"/>
      <c r="C133" s="157"/>
      <c r="D133" s="157"/>
      <c r="E133" s="166"/>
      <c r="F133" s="196"/>
      <c r="G133" s="172"/>
      <c r="H133" s="172"/>
      <c r="I133" s="172"/>
      <c r="J133" s="172"/>
      <c r="K133" s="172"/>
      <c r="L133" s="172"/>
      <c r="M133" s="172"/>
      <c r="N133" s="172"/>
      <c r="O133" s="172"/>
      <c r="P133" s="172"/>
      <c r="Q133" s="172"/>
      <c r="R133" s="172"/>
      <c r="S133" s="172"/>
      <c r="T133" s="172"/>
      <c r="U133" s="172"/>
      <c r="V133" s="172"/>
      <c r="W133" s="172"/>
      <c r="X133" s="172"/>
      <c r="Y133" s="172"/>
      <c r="Z133" s="172"/>
      <c r="AA133" s="172"/>
      <c r="AB133" s="172"/>
      <c r="AC133" s="172"/>
      <c r="AD133" s="172"/>
      <c r="AE133" s="172"/>
      <c r="AF133" s="172"/>
      <c r="AG133" s="172"/>
      <c r="AH133" s="172"/>
      <c r="AI133" s="172"/>
      <c r="AJ133" s="172"/>
    </row>
    <row r="134" spans="2:36" s="1" customFormat="1" x14ac:dyDescent="0.2">
      <c r="B134" s="157" t="s">
        <v>111</v>
      </c>
      <c r="C134" s="157"/>
      <c r="D134" s="157"/>
      <c r="E134" s="166"/>
      <c r="F134" s="196"/>
      <c r="G134" s="173">
        <f>G132*'Financial Inputs'!$P$16</f>
        <v>775.14044999999999</v>
      </c>
      <c r="H134" s="173">
        <f>H132*'Financial Inputs'!$P$16</f>
        <v>1240.2247199999999</v>
      </c>
      <c r="I134" s="173">
        <f>I132*'Financial Inputs'!$P$16</f>
        <v>744.13483199999996</v>
      </c>
      <c r="J134" s="173">
        <f>J132*'Financial Inputs'!$P$16</f>
        <v>446.48089919999995</v>
      </c>
      <c r="K134" s="173">
        <f>K132*'Financial Inputs'!$P$16</f>
        <v>446.48089919999995</v>
      </c>
      <c r="L134" s="173">
        <f>L132*'Financial Inputs'!$P$16</f>
        <v>223.24044959999998</v>
      </c>
      <c r="M134" s="173">
        <f>M132*'Financial Inputs'!$P$16</f>
        <v>0</v>
      </c>
      <c r="N134" s="173">
        <f>N132*'Financial Inputs'!$P$16</f>
        <v>0</v>
      </c>
      <c r="O134" s="173">
        <f>O132*'Financial Inputs'!$P$16</f>
        <v>0</v>
      </c>
      <c r="P134" s="173">
        <f>P132*'Financial Inputs'!$P$16</f>
        <v>0</v>
      </c>
      <c r="Q134" s="173">
        <f>Q132*'Financial Inputs'!$P$16</f>
        <v>0</v>
      </c>
      <c r="R134" s="173">
        <f>R132*'Financial Inputs'!$P$16</f>
        <v>0</v>
      </c>
      <c r="S134" s="173">
        <f>S132*'Financial Inputs'!$P$16</f>
        <v>0</v>
      </c>
      <c r="T134" s="173">
        <f>T132*'Financial Inputs'!$P$16</f>
        <v>0</v>
      </c>
      <c r="U134" s="173">
        <f>U132*'Financial Inputs'!$P$16</f>
        <v>0</v>
      </c>
      <c r="V134" s="173">
        <f>V132*'Financial Inputs'!$P$16</f>
        <v>0</v>
      </c>
      <c r="W134" s="173">
        <f>W132*'Financial Inputs'!$P$16</f>
        <v>0</v>
      </c>
      <c r="X134" s="173">
        <f>X132*'Financial Inputs'!$P$16</f>
        <v>0</v>
      </c>
      <c r="Y134" s="173">
        <f>Y132*'Financial Inputs'!$P$16</f>
        <v>0</v>
      </c>
      <c r="Z134" s="173">
        <f>Z132*'Financial Inputs'!$P$16</f>
        <v>3954.9999999999995</v>
      </c>
      <c r="AA134" s="173">
        <f>AA132*'Financial Inputs'!$P$16</f>
        <v>0</v>
      </c>
      <c r="AB134" s="173">
        <f>AB132*'Financial Inputs'!$P$16</f>
        <v>0</v>
      </c>
      <c r="AC134" s="173">
        <f>AC132*'Financial Inputs'!$P$16</f>
        <v>0</v>
      </c>
      <c r="AD134" s="173">
        <f>AD132*'Financial Inputs'!$P$16</f>
        <v>0</v>
      </c>
      <c r="AE134" s="173">
        <f>AE132*'Financial Inputs'!$P$16</f>
        <v>0</v>
      </c>
      <c r="AF134" s="173">
        <f>AF132*'Financial Inputs'!$P$16</f>
        <v>0</v>
      </c>
      <c r="AG134" s="173">
        <f>AG132*'Financial Inputs'!$P$16</f>
        <v>0</v>
      </c>
      <c r="AH134" s="173">
        <f>AH132*'Financial Inputs'!$P$16</f>
        <v>0</v>
      </c>
      <c r="AI134" s="173">
        <f>AI132*'Financial Inputs'!$P$16</f>
        <v>0</v>
      </c>
      <c r="AJ134" s="173">
        <f>AJ132*'Financial Inputs'!$P$16</f>
        <v>0</v>
      </c>
    </row>
    <row r="135" spans="2:36" s="1" customFormat="1" ht="16.5" thickBot="1" x14ac:dyDescent="0.3">
      <c r="B135" s="174"/>
      <c r="C135" s="174"/>
      <c r="D135" s="174"/>
      <c r="E135" s="175"/>
      <c r="F135" s="175"/>
      <c r="G135" s="176"/>
      <c r="H135" s="177"/>
      <c r="I135" s="175"/>
      <c r="J135" s="175"/>
      <c r="K135" s="175"/>
      <c r="L135" s="175"/>
      <c r="M135" s="175"/>
      <c r="N135" s="175"/>
      <c r="O135" s="175"/>
      <c r="P135" s="175"/>
      <c r="Q135" s="175"/>
      <c r="R135" s="175"/>
      <c r="S135" s="175"/>
      <c r="T135" s="175"/>
      <c r="U135" s="175"/>
      <c r="V135" s="175"/>
      <c r="W135" s="175"/>
      <c r="X135" s="175"/>
      <c r="Y135" s="175"/>
      <c r="Z135" s="175"/>
      <c r="AA135" s="175"/>
      <c r="AB135" s="175"/>
      <c r="AC135" s="175"/>
      <c r="AD135" s="175"/>
      <c r="AE135" s="175"/>
      <c r="AF135" s="175"/>
      <c r="AG135" s="175"/>
      <c r="AH135" s="175"/>
      <c r="AI135" s="175"/>
      <c r="AJ135" s="175"/>
    </row>
    <row r="136" spans="2:36" x14ac:dyDescent="0.25">
      <c r="B136" s="194"/>
      <c r="C136" s="194"/>
      <c r="D136" s="194"/>
      <c r="E136" s="194"/>
      <c r="F136" s="194"/>
      <c r="G136" s="194"/>
      <c r="H136" s="194"/>
      <c r="I136" s="194"/>
      <c r="J136" s="194"/>
      <c r="K136" s="194"/>
      <c r="L136" s="194"/>
      <c r="M136" s="194"/>
      <c r="N136" s="194"/>
      <c r="O136" s="194"/>
      <c r="P136" s="194"/>
      <c r="Q136" s="194"/>
      <c r="R136" s="194"/>
      <c r="S136" s="194"/>
      <c r="T136" s="194"/>
      <c r="U136" s="194"/>
      <c r="V136" s="194"/>
      <c r="W136" s="194"/>
      <c r="X136" s="194"/>
      <c r="Y136" s="194"/>
      <c r="Z136" s="194"/>
      <c r="AA136" s="194"/>
      <c r="AB136" s="194"/>
      <c r="AC136" s="194"/>
      <c r="AD136" s="194"/>
      <c r="AE136" s="194"/>
      <c r="AF136" s="194"/>
      <c r="AG136" s="194"/>
      <c r="AH136" s="194"/>
      <c r="AI136" s="194"/>
      <c r="AJ136" s="194"/>
    </row>
    <row r="137" spans="2:36" ht="15.75" x14ac:dyDescent="0.25">
      <c r="B137" s="156" t="s">
        <v>129</v>
      </c>
      <c r="C137" s="156"/>
      <c r="D137" s="156"/>
      <c r="E137" s="194"/>
      <c r="F137" s="194"/>
      <c r="G137" s="194"/>
      <c r="H137" s="194"/>
      <c r="I137" s="194"/>
      <c r="J137" s="194"/>
      <c r="K137" s="194"/>
      <c r="L137" s="194"/>
      <c r="M137" s="194"/>
      <c r="N137" s="194"/>
      <c r="O137" s="194"/>
      <c r="P137" s="194"/>
      <c r="Q137" s="194"/>
      <c r="R137" s="194"/>
      <c r="S137" s="194"/>
      <c r="T137" s="194"/>
      <c r="U137" s="194"/>
      <c r="V137" s="194"/>
      <c r="W137" s="194"/>
      <c r="X137" s="194"/>
      <c r="Y137" s="194"/>
      <c r="Z137" s="194"/>
      <c r="AA137" s="194"/>
      <c r="AB137" s="194"/>
      <c r="AC137" s="194"/>
      <c r="AD137" s="194"/>
      <c r="AE137" s="194"/>
      <c r="AF137" s="194"/>
      <c r="AG137" s="194"/>
      <c r="AH137" s="194"/>
      <c r="AI137" s="194"/>
      <c r="AJ137" s="194"/>
    </row>
    <row r="138" spans="2:36" ht="15.75" x14ac:dyDescent="0.25">
      <c r="B138" s="157"/>
      <c r="C138" s="157"/>
      <c r="D138" s="157"/>
      <c r="E138" s="194"/>
      <c r="F138" s="194"/>
      <c r="G138" s="194"/>
      <c r="H138" s="194"/>
      <c r="I138" s="194"/>
      <c r="J138" s="194"/>
      <c r="K138" s="194"/>
      <c r="L138" s="194"/>
      <c r="M138" s="194"/>
      <c r="N138" s="194"/>
      <c r="O138" s="194"/>
      <c r="P138" s="194"/>
      <c r="Q138" s="194"/>
      <c r="R138" s="194"/>
      <c r="S138" s="194"/>
      <c r="T138" s="194"/>
      <c r="U138" s="194"/>
      <c r="V138" s="194"/>
      <c r="W138" s="194"/>
      <c r="X138" s="194"/>
      <c r="Y138" s="194"/>
      <c r="Z138" s="194"/>
      <c r="AA138" s="194"/>
      <c r="AB138" s="194"/>
      <c r="AC138" s="194"/>
      <c r="AD138" s="194"/>
      <c r="AE138" s="194"/>
      <c r="AF138" s="194"/>
      <c r="AG138" s="194"/>
      <c r="AH138" s="194"/>
      <c r="AI138" s="194"/>
      <c r="AJ138" s="194"/>
    </row>
    <row r="139" spans="2:36" ht="15.75" x14ac:dyDescent="0.25">
      <c r="B139" s="157" t="s">
        <v>128</v>
      </c>
      <c r="C139" s="157"/>
      <c r="D139" s="157"/>
      <c r="E139" s="194"/>
      <c r="F139" s="194"/>
      <c r="G139" s="173">
        <f t="shared" ref="G139:AJ139" si="31">G41</f>
        <v>130189.13271563457</v>
      </c>
      <c r="H139" s="173">
        <f t="shared" si="31"/>
        <v>130178.55433804929</v>
      </c>
      <c r="I139" s="173">
        <f t="shared" si="31"/>
        <v>132622.41550371962</v>
      </c>
      <c r="J139" s="173">
        <f t="shared" si="31"/>
        <v>134589.25758837519</v>
      </c>
      <c r="K139" s="173">
        <f t="shared" si="31"/>
        <v>135828.78168364949</v>
      </c>
      <c r="L139" s="173">
        <f t="shared" si="31"/>
        <v>137658.62616582896</v>
      </c>
      <c r="M139" s="173">
        <f t="shared" si="31"/>
        <v>139514.94351505165</v>
      </c>
      <c r="N139" s="173">
        <f t="shared" si="31"/>
        <v>140833.90518877044</v>
      </c>
      <c r="O139" s="173">
        <f t="shared" si="31"/>
        <v>142180.60495359611</v>
      </c>
      <c r="P139" s="173">
        <f t="shared" si="31"/>
        <v>143555.70627996148</v>
      </c>
      <c r="Q139" s="173">
        <f t="shared" si="31"/>
        <v>144958.96317009238</v>
      </c>
      <c r="R139" s="173">
        <f t="shared" si="31"/>
        <v>146362.13518349422</v>
      </c>
      <c r="S139" s="173">
        <f t="shared" si="31"/>
        <v>147793.37063716413</v>
      </c>
      <c r="T139" s="173">
        <f t="shared" si="31"/>
        <v>149253.23079990738</v>
      </c>
      <c r="U139" s="173">
        <f t="shared" si="31"/>
        <v>150742.28816590554</v>
      </c>
      <c r="V139" s="173">
        <f t="shared" si="31"/>
        <v>152261.12667922367</v>
      </c>
      <c r="W139" s="173">
        <f t="shared" si="31"/>
        <v>153810.3419628081</v>
      </c>
      <c r="X139" s="173">
        <f t="shared" si="31"/>
        <v>155390.54155206433</v>
      </c>
      <c r="Y139" s="173">
        <f t="shared" si="31"/>
        <v>157002.34513310558</v>
      </c>
      <c r="Z139" s="173">
        <f t="shared" si="31"/>
        <v>148646.3847857677</v>
      </c>
      <c r="AA139" s="173">
        <f t="shared" si="31"/>
        <v>0</v>
      </c>
      <c r="AB139" s="173">
        <f t="shared" si="31"/>
        <v>0</v>
      </c>
      <c r="AC139" s="173">
        <f t="shared" si="31"/>
        <v>0</v>
      </c>
      <c r="AD139" s="173">
        <f t="shared" si="31"/>
        <v>0</v>
      </c>
      <c r="AE139" s="173">
        <f t="shared" si="31"/>
        <v>0</v>
      </c>
      <c r="AF139" s="173">
        <f t="shared" si="31"/>
        <v>0</v>
      </c>
      <c r="AG139" s="173">
        <f t="shared" si="31"/>
        <v>0</v>
      </c>
      <c r="AH139" s="173">
        <f t="shared" si="31"/>
        <v>0</v>
      </c>
      <c r="AI139" s="173">
        <f t="shared" si="31"/>
        <v>0</v>
      </c>
      <c r="AJ139" s="173">
        <f t="shared" si="31"/>
        <v>0</v>
      </c>
    </row>
    <row r="140" spans="2:36" ht="15.75" x14ac:dyDescent="0.25">
      <c r="B140" s="157"/>
      <c r="C140" s="157"/>
      <c r="D140" s="157"/>
      <c r="E140" s="194"/>
      <c r="F140" s="194"/>
      <c r="G140" s="173"/>
      <c r="H140" s="173"/>
      <c r="I140" s="173"/>
      <c r="J140" s="173"/>
      <c r="K140" s="173"/>
      <c r="L140" s="173"/>
      <c r="M140" s="173"/>
      <c r="N140" s="173"/>
      <c r="O140" s="173"/>
      <c r="P140" s="173"/>
      <c r="Q140" s="173"/>
      <c r="R140" s="173"/>
      <c r="S140" s="173"/>
      <c r="T140" s="173"/>
      <c r="U140" s="173"/>
      <c r="V140" s="173"/>
      <c r="W140" s="173"/>
      <c r="X140" s="173"/>
      <c r="Y140" s="173"/>
      <c r="Z140" s="173"/>
      <c r="AA140" s="173"/>
      <c r="AB140" s="173"/>
      <c r="AC140" s="173"/>
      <c r="AD140" s="173"/>
      <c r="AE140" s="173"/>
      <c r="AF140" s="173"/>
      <c r="AG140" s="173"/>
      <c r="AH140" s="173"/>
      <c r="AI140" s="173"/>
      <c r="AJ140" s="173"/>
    </row>
    <row r="141" spans="2:36" ht="15.75" x14ac:dyDescent="0.25">
      <c r="B141" s="219" t="s">
        <v>159</v>
      </c>
      <c r="C141" s="219"/>
      <c r="D141" s="219"/>
      <c r="E141" s="194"/>
      <c r="F141" s="194"/>
      <c r="G141" s="173"/>
      <c r="H141" s="173"/>
      <c r="I141" s="173"/>
      <c r="J141" s="173"/>
      <c r="K141" s="173"/>
      <c r="L141" s="173"/>
      <c r="M141" s="173"/>
      <c r="N141" s="173"/>
      <c r="O141" s="173"/>
      <c r="P141" s="173"/>
      <c r="Q141" s="173"/>
      <c r="R141" s="173"/>
      <c r="S141" s="173"/>
      <c r="T141" s="173"/>
      <c r="U141" s="173"/>
      <c r="V141" s="173"/>
      <c r="W141" s="173"/>
      <c r="X141" s="173"/>
      <c r="Y141" s="173"/>
      <c r="Z141" s="173"/>
      <c r="AA141" s="173"/>
      <c r="AB141" s="173"/>
      <c r="AC141" s="173"/>
      <c r="AD141" s="173"/>
      <c r="AE141" s="173"/>
      <c r="AF141" s="173"/>
      <c r="AG141" s="173"/>
      <c r="AH141" s="173"/>
      <c r="AI141" s="173"/>
      <c r="AJ141" s="173"/>
    </row>
    <row r="142" spans="2:36" ht="15.75" x14ac:dyDescent="0.25">
      <c r="B142" s="157" t="s">
        <v>131</v>
      </c>
      <c r="C142" s="157"/>
      <c r="D142" s="157"/>
      <c r="E142" s="194"/>
      <c r="F142" s="194"/>
      <c r="G142" s="173">
        <v>0</v>
      </c>
      <c r="H142" s="173">
        <f>G145</f>
        <v>-130189.13271563457</v>
      </c>
      <c r="I142" s="173">
        <f t="shared" ref="I142:AJ142" si="32">H145</f>
        <v>0</v>
      </c>
      <c r="J142" s="173">
        <f t="shared" si="32"/>
        <v>0</v>
      </c>
      <c r="K142" s="173">
        <f t="shared" si="32"/>
        <v>0</v>
      </c>
      <c r="L142" s="173">
        <f t="shared" si="32"/>
        <v>0</v>
      </c>
      <c r="M142" s="173">
        <f t="shared" si="32"/>
        <v>0</v>
      </c>
      <c r="N142" s="173">
        <f t="shared" si="32"/>
        <v>0</v>
      </c>
      <c r="O142" s="173">
        <f t="shared" si="32"/>
        <v>0</v>
      </c>
      <c r="P142" s="173">
        <f t="shared" si="32"/>
        <v>0</v>
      </c>
      <c r="Q142" s="173">
        <f t="shared" si="32"/>
        <v>0</v>
      </c>
      <c r="R142" s="173">
        <f t="shared" si="32"/>
        <v>0</v>
      </c>
      <c r="S142" s="173">
        <f t="shared" si="32"/>
        <v>0</v>
      </c>
      <c r="T142" s="173">
        <f t="shared" si="32"/>
        <v>0</v>
      </c>
      <c r="U142" s="173">
        <f t="shared" si="32"/>
        <v>0</v>
      </c>
      <c r="V142" s="173">
        <f t="shared" si="32"/>
        <v>0</v>
      </c>
      <c r="W142" s="173">
        <f t="shared" si="32"/>
        <v>0</v>
      </c>
      <c r="X142" s="173">
        <f t="shared" si="32"/>
        <v>0</v>
      </c>
      <c r="Y142" s="173">
        <f t="shared" si="32"/>
        <v>0</v>
      </c>
      <c r="Z142" s="173">
        <f t="shared" si="32"/>
        <v>0</v>
      </c>
      <c r="AA142" s="173">
        <f t="shared" si="32"/>
        <v>0</v>
      </c>
      <c r="AB142" s="173">
        <f t="shared" si="32"/>
        <v>0</v>
      </c>
      <c r="AC142" s="173">
        <f t="shared" si="32"/>
        <v>0</v>
      </c>
      <c r="AD142" s="173">
        <f t="shared" si="32"/>
        <v>0</v>
      </c>
      <c r="AE142" s="173">
        <f t="shared" si="32"/>
        <v>0</v>
      </c>
      <c r="AF142" s="173">
        <f t="shared" si="32"/>
        <v>0</v>
      </c>
      <c r="AG142" s="173">
        <f t="shared" si="32"/>
        <v>0</v>
      </c>
      <c r="AH142" s="173">
        <f t="shared" si="32"/>
        <v>0</v>
      </c>
      <c r="AI142" s="173">
        <f t="shared" si="32"/>
        <v>0</v>
      </c>
      <c r="AJ142" s="173">
        <f t="shared" si="32"/>
        <v>0</v>
      </c>
    </row>
    <row r="143" spans="2:36" ht="15.75" x14ac:dyDescent="0.25">
      <c r="B143" s="157" t="s">
        <v>132</v>
      </c>
      <c r="C143" s="157"/>
      <c r="D143" s="157"/>
      <c r="E143" s="194"/>
      <c r="F143" s="194"/>
      <c r="G143" s="173">
        <f>IF(G$139&gt;0,0,-G$139)</f>
        <v>0</v>
      </c>
      <c r="H143" s="173">
        <f t="shared" ref="H143:AJ143" si="33">IF(H$139&gt;0,0,-H$139)</f>
        <v>0</v>
      </c>
      <c r="I143" s="173">
        <f t="shared" si="33"/>
        <v>0</v>
      </c>
      <c r="J143" s="173">
        <f t="shared" si="33"/>
        <v>0</v>
      </c>
      <c r="K143" s="173">
        <f t="shared" si="33"/>
        <v>0</v>
      </c>
      <c r="L143" s="173">
        <f t="shared" si="33"/>
        <v>0</v>
      </c>
      <c r="M143" s="173">
        <f t="shared" si="33"/>
        <v>0</v>
      </c>
      <c r="N143" s="173">
        <f t="shared" si="33"/>
        <v>0</v>
      </c>
      <c r="O143" s="173">
        <f t="shared" si="33"/>
        <v>0</v>
      </c>
      <c r="P143" s="173">
        <f t="shared" si="33"/>
        <v>0</v>
      </c>
      <c r="Q143" s="173">
        <f t="shared" si="33"/>
        <v>0</v>
      </c>
      <c r="R143" s="173">
        <f t="shared" si="33"/>
        <v>0</v>
      </c>
      <c r="S143" s="173">
        <f t="shared" si="33"/>
        <v>0</v>
      </c>
      <c r="T143" s="173">
        <f t="shared" si="33"/>
        <v>0</v>
      </c>
      <c r="U143" s="173">
        <f t="shared" si="33"/>
        <v>0</v>
      </c>
      <c r="V143" s="173">
        <f t="shared" si="33"/>
        <v>0</v>
      </c>
      <c r="W143" s="173">
        <f t="shared" si="33"/>
        <v>0</v>
      </c>
      <c r="X143" s="173">
        <f t="shared" si="33"/>
        <v>0</v>
      </c>
      <c r="Y143" s="173">
        <f t="shared" si="33"/>
        <v>0</v>
      </c>
      <c r="Z143" s="173">
        <f t="shared" si="33"/>
        <v>0</v>
      </c>
      <c r="AA143" s="173">
        <f t="shared" si="33"/>
        <v>0</v>
      </c>
      <c r="AB143" s="173">
        <f t="shared" si="33"/>
        <v>0</v>
      </c>
      <c r="AC143" s="173">
        <f t="shared" si="33"/>
        <v>0</v>
      </c>
      <c r="AD143" s="173">
        <f t="shared" si="33"/>
        <v>0</v>
      </c>
      <c r="AE143" s="173">
        <f t="shared" si="33"/>
        <v>0</v>
      </c>
      <c r="AF143" s="173">
        <f t="shared" si="33"/>
        <v>0</v>
      </c>
      <c r="AG143" s="173">
        <f t="shared" si="33"/>
        <v>0</v>
      </c>
      <c r="AH143" s="173">
        <f t="shared" si="33"/>
        <v>0</v>
      </c>
      <c r="AI143" s="173">
        <f t="shared" si="33"/>
        <v>0</v>
      </c>
      <c r="AJ143" s="173">
        <f t="shared" si="33"/>
        <v>0</v>
      </c>
    </row>
    <row r="144" spans="2:36" ht="15.75" x14ac:dyDescent="0.25">
      <c r="B144" s="157" t="s">
        <v>130</v>
      </c>
      <c r="C144" s="157"/>
      <c r="D144" s="157"/>
      <c r="E144" s="194"/>
      <c r="F144" s="194"/>
      <c r="G144" s="173">
        <f t="shared" ref="G144:L144" si="34">IF(G$139&lt;=0,0,-MIN(G$139,F$145))</f>
        <v>-130189.13271563457</v>
      </c>
      <c r="H144" s="173">
        <f t="shared" si="34"/>
        <v>130189.13271563457</v>
      </c>
      <c r="I144" s="173">
        <f t="shared" si="34"/>
        <v>0</v>
      </c>
      <c r="J144" s="173">
        <f t="shared" si="34"/>
        <v>0</v>
      </c>
      <c r="K144" s="173">
        <f t="shared" si="34"/>
        <v>0</v>
      </c>
      <c r="L144" s="173">
        <f t="shared" si="34"/>
        <v>0</v>
      </c>
      <c r="M144" s="173">
        <f>IF(M$139&lt;=0,0,-MIN(M$139,L$145))</f>
        <v>0</v>
      </c>
      <c r="N144" s="173">
        <f t="shared" ref="N144:AJ144" si="35">IF(N$139&lt;=0,0,-MIN(N$139,M$145))</f>
        <v>0</v>
      </c>
      <c r="O144" s="173">
        <f t="shared" si="35"/>
        <v>0</v>
      </c>
      <c r="P144" s="173">
        <f t="shared" si="35"/>
        <v>0</v>
      </c>
      <c r="Q144" s="173">
        <f t="shared" si="35"/>
        <v>0</v>
      </c>
      <c r="R144" s="173">
        <f t="shared" si="35"/>
        <v>0</v>
      </c>
      <c r="S144" s="173">
        <f t="shared" si="35"/>
        <v>0</v>
      </c>
      <c r="T144" s="173">
        <f t="shared" si="35"/>
        <v>0</v>
      </c>
      <c r="U144" s="173">
        <f t="shared" si="35"/>
        <v>0</v>
      </c>
      <c r="V144" s="173">
        <f t="shared" si="35"/>
        <v>0</v>
      </c>
      <c r="W144" s="173">
        <f t="shared" si="35"/>
        <v>0</v>
      </c>
      <c r="X144" s="173">
        <f t="shared" si="35"/>
        <v>0</v>
      </c>
      <c r="Y144" s="173">
        <f t="shared" si="35"/>
        <v>0</v>
      </c>
      <c r="Z144" s="173">
        <f t="shared" si="35"/>
        <v>0</v>
      </c>
      <c r="AA144" s="173">
        <f t="shared" si="35"/>
        <v>0</v>
      </c>
      <c r="AB144" s="173">
        <f t="shared" si="35"/>
        <v>0</v>
      </c>
      <c r="AC144" s="173">
        <f t="shared" si="35"/>
        <v>0</v>
      </c>
      <c r="AD144" s="173">
        <f t="shared" si="35"/>
        <v>0</v>
      </c>
      <c r="AE144" s="173">
        <f t="shared" si="35"/>
        <v>0</v>
      </c>
      <c r="AF144" s="173">
        <f t="shared" si="35"/>
        <v>0</v>
      </c>
      <c r="AG144" s="173">
        <f t="shared" si="35"/>
        <v>0</v>
      </c>
      <c r="AH144" s="173">
        <f t="shared" si="35"/>
        <v>0</v>
      </c>
      <c r="AI144" s="173">
        <f t="shared" si="35"/>
        <v>0</v>
      </c>
      <c r="AJ144" s="173">
        <f t="shared" si="35"/>
        <v>0</v>
      </c>
    </row>
    <row r="145" spans="2:36" ht="15.75" x14ac:dyDescent="0.25">
      <c r="B145" s="157" t="s">
        <v>133</v>
      </c>
      <c r="C145" s="157"/>
      <c r="D145" s="157"/>
      <c r="E145" s="194"/>
      <c r="F145" s="194"/>
      <c r="G145" s="173">
        <f>SUM(G142:G144)</f>
        <v>-130189.13271563457</v>
      </c>
      <c r="H145" s="173">
        <f t="shared" ref="H145:AJ145" si="36">SUM(H142:H144)</f>
        <v>0</v>
      </c>
      <c r="I145" s="173">
        <f t="shared" si="36"/>
        <v>0</v>
      </c>
      <c r="J145" s="173">
        <f t="shared" si="36"/>
        <v>0</v>
      </c>
      <c r="K145" s="173">
        <f t="shared" si="36"/>
        <v>0</v>
      </c>
      <c r="L145" s="173">
        <f t="shared" si="36"/>
        <v>0</v>
      </c>
      <c r="M145" s="173">
        <f t="shared" si="36"/>
        <v>0</v>
      </c>
      <c r="N145" s="173">
        <f t="shared" si="36"/>
        <v>0</v>
      </c>
      <c r="O145" s="173">
        <f t="shared" si="36"/>
        <v>0</v>
      </c>
      <c r="P145" s="173">
        <f t="shared" si="36"/>
        <v>0</v>
      </c>
      <c r="Q145" s="173">
        <f t="shared" si="36"/>
        <v>0</v>
      </c>
      <c r="R145" s="173">
        <f t="shared" si="36"/>
        <v>0</v>
      </c>
      <c r="S145" s="173">
        <f t="shared" si="36"/>
        <v>0</v>
      </c>
      <c r="T145" s="173">
        <f t="shared" si="36"/>
        <v>0</v>
      </c>
      <c r="U145" s="173">
        <f t="shared" si="36"/>
        <v>0</v>
      </c>
      <c r="V145" s="173">
        <f t="shared" si="36"/>
        <v>0</v>
      </c>
      <c r="W145" s="173">
        <f t="shared" si="36"/>
        <v>0</v>
      </c>
      <c r="X145" s="173">
        <f t="shared" si="36"/>
        <v>0</v>
      </c>
      <c r="Y145" s="173">
        <f t="shared" si="36"/>
        <v>0</v>
      </c>
      <c r="Z145" s="173">
        <f t="shared" si="36"/>
        <v>0</v>
      </c>
      <c r="AA145" s="173">
        <f t="shared" si="36"/>
        <v>0</v>
      </c>
      <c r="AB145" s="173">
        <f t="shared" si="36"/>
        <v>0</v>
      </c>
      <c r="AC145" s="173">
        <f t="shared" si="36"/>
        <v>0</v>
      </c>
      <c r="AD145" s="173">
        <f t="shared" si="36"/>
        <v>0</v>
      </c>
      <c r="AE145" s="173">
        <f t="shared" si="36"/>
        <v>0</v>
      </c>
      <c r="AF145" s="173">
        <f t="shared" si="36"/>
        <v>0</v>
      </c>
      <c r="AG145" s="173">
        <f t="shared" si="36"/>
        <v>0</v>
      </c>
      <c r="AH145" s="173">
        <f t="shared" si="36"/>
        <v>0</v>
      </c>
      <c r="AI145" s="173">
        <f t="shared" si="36"/>
        <v>0</v>
      </c>
      <c r="AJ145" s="173">
        <f t="shared" si="36"/>
        <v>0</v>
      </c>
    </row>
    <row r="146" spans="2:36" ht="15.75" x14ac:dyDescent="0.25">
      <c r="B146" s="157"/>
      <c r="C146" s="157"/>
      <c r="D146" s="157"/>
      <c r="E146" s="194"/>
      <c r="F146" s="194"/>
      <c r="G146" s="194"/>
      <c r="H146" s="194"/>
      <c r="I146" s="194"/>
      <c r="J146" s="194"/>
      <c r="K146" s="194"/>
      <c r="L146" s="194"/>
      <c r="M146" s="194"/>
      <c r="N146" s="194"/>
      <c r="O146" s="194"/>
      <c r="P146" s="194"/>
      <c r="Q146" s="194"/>
      <c r="R146" s="194"/>
      <c r="S146" s="194"/>
      <c r="T146" s="194"/>
      <c r="U146" s="194"/>
      <c r="V146" s="194"/>
      <c r="W146" s="194"/>
      <c r="X146" s="194"/>
      <c r="Y146" s="194"/>
      <c r="Z146" s="194"/>
      <c r="AA146" s="194"/>
      <c r="AB146" s="194"/>
      <c r="AC146" s="194"/>
      <c r="AD146" s="194"/>
      <c r="AE146" s="194"/>
      <c r="AF146" s="194"/>
      <c r="AG146" s="194"/>
      <c r="AH146" s="194"/>
      <c r="AI146" s="194"/>
      <c r="AJ146" s="194"/>
    </row>
    <row r="147" spans="2:36" ht="15.75" x14ac:dyDescent="0.25">
      <c r="B147" s="157" t="s">
        <v>134</v>
      </c>
      <c r="C147" s="157"/>
      <c r="D147" s="157"/>
      <c r="E147" s="194"/>
      <c r="F147" s="194"/>
      <c r="G147" s="173">
        <f>G139+G143+G144</f>
        <v>0</v>
      </c>
      <c r="H147" s="173">
        <f t="shared" ref="H147:AJ147" si="37">H139+H143+H144</f>
        <v>260367.68705368385</v>
      </c>
      <c r="I147" s="173">
        <f t="shared" si="37"/>
        <v>132622.41550371962</v>
      </c>
      <c r="J147" s="173">
        <f t="shared" si="37"/>
        <v>134589.25758837519</v>
      </c>
      <c r="K147" s="173">
        <f t="shared" si="37"/>
        <v>135828.78168364949</v>
      </c>
      <c r="L147" s="173">
        <f t="shared" si="37"/>
        <v>137658.62616582896</v>
      </c>
      <c r="M147" s="173">
        <f t="shared" si="37"/>
        <v>139514.94351505165</v>
      </c>
      <c r="N147" s="173">
        <f t="shared" si="37"/>
        <v>140833.90518877044</v>
      </c>
      <c r="O147" s="173">
        <f t="shared" si="37"/>
        <v>142180.60495359611</v>
      </c>
      <c r="P147" s="173">
        <f t="shared" si="37"/>
        <v>143555.70627996148</v>
      </c>
      <c r="Q147" s="173">
        <f t="shared" si="37"/>
        <v>144958.96317009238</v>
      </c>
      <c r="R147" s="173">
        <f t="shared" si="37"/>
        <v>146362.13518349422</v>
      </c>
      <c r="S147" s="173">
        <f t="shared" si="37"/>
        <v>147793.37063716413</v>
      </c>
      <c r="T147" s="173">
        <f t="shared" si="37"/>
        <v>149253.23079990738</v>
      </c>
      <c r="U147" s="173">
        <f t="shared" si="37"/>
        <v>150742.28816590554</v>
      </c>
      <c r="V147" s="173">
        <f t="shared" si="37"/>
        <v>152261.12667922367</v>
      </c>
      <c r="W147" s="173">
        <f t="shared" si="37"/>
        <v>153810.3419628081</v>
      </c>
      <c r="X147" s="173">
        <f t="shared" si="37"/>
        <v>155390.54155206433</v>
      </c>
      <c r="Y147" s="173">
        <f t="shared" si="37"/>
        <v>157002.34513310558</v>
      </c>
      <c r="Z147" s="173">
        <f t="shared" si="37"/>
        <v>148646.3847857677</v>
      </c>
      <c r="AA147" s="173">
        <f t="shared" si="37"/>
        <v>0</v>
      </c>
      <c r="AB147" s="173">
        <f t="shared" si="37"/>
        <v>0</v>
      </c>
      <c r="AC147" s="173">
        <f t="shared" si="37"/>
        <v>0</v>
      </c>
      <c r="AD147" s="173">
        <f t="shared" si="37"/>
        <v>0</v>
      </c>
      <c r="AE147" s="173">
        <f t="shared" si="37"/>
        <v>0</v>
      </c>
      <c r="AF147" s="173">
        <f t="shared" si="37"/>
        <v>0</v>
      </c>
      <c r="AG147" s="173">
        <f t="shared" si="37"/>
        <v>0</v>
      </c>
      <c r="AH147" s="173">
        <f t="shared" si="37"/>
        <v>0</v>
      </c>
      <c r="AI147" s="173">
        <f t="shared" si="37"/>
        <v>0</v>
      </c>
      <c r="AJ147" s="173">
        <f t="shared" si="37"/>
        <v>0</v>
      </c>
    </row>
    <row r="148" spans="2:36" ht="15.75" x14ac:dyDescent="0.25">
      <c r="B148" s="157"/>
      <c r="C148" s="157"/>
      <c r="D148" s="157"/>
      <c r="E148" s="194"/>
      <c r="F148" s="194"/>
      <c r="G148" s="173"/>
      <c r="H148" s="173"/>
      <c r="I148" s="173"/>
      <c r="J148" s="173"/>
      <c r="K148" s="173"/>
      <c r="L148" s="173"/>
      <c r="M148" s="173"/>
      <c r="N148" s="173"/>
      <c r="O148" s="173"/>
      <c r="P148" s="173"/>
      <c r="Q148" s="173"/>
      <c r="R148" s="173"/>
      <c r="S148" s="173"/>
      <c r="T148" s="173"/>
      <c r="U148" s="173"/>
      <c r="V148" s="173"/>
      <c r="W148" s="173"/>
      <c r="X148" s="173"/>
      <c r="Y148" s="173"/>
      <c r="Z148" s="173"/>
      <c r="AA148" s="173"/>
      <c r="AB148" s="173"/>
      <c r="AC148" s="173"/>
      <c r="AD148" s="173"/>
      <c r="AE148" s="173"/>
      <c r="AF148" s="173"/>
      <c r="AG148" s="173"/>
      <c r="AH148" s="173"/>
      <c r="AI148" s="173"/>
      <c r="AJ148" s="173"/>
    </row>
    <row r="149" spans="2:36" ht="15.75" x14ac:dyDescent="0.25">
      <c r="B149" s="219" t="s">
        <v>160</v>
      </c>
      <c r="C149" s="219"/>
      <c r="D149" s="219"/>
      <c r="E149" s="194"/>
      <c r="F149" s="194"/>
      <c r="G149" s="173"/>
      <c r="H149" s="173"/>
      <c r="I149" s="173"/>
      <c r="J149" s="173"/>
      <c r="K149" s="173"/>
      <c r="L149" s="173"/>
      <c r="M149" s="173"/>
      <c r="N149" s="173"/>
      <c r="O149" s="173"/>
      <c r="P149" s="173"/>
      <c r="Q149" s="173"/>
      <c r="R149" s="173"/>
      <c r="S149" s="173"/>
      <c r="T149" s="173"/>
      <c r="U149" s="173"/>
      <c r="V149" s="173"/>
      <c r="W149" s="173"/>
      <c r="X149" s="173"/>
      <c r="Y149" s="173"/>
      <c r="Z149" s="173"/>
      <c r="AA149" s="173"/>
      <c r="AB149" s="173"/>
      <c r="AC149" s="173"/>
      <c r="AD149" s="173"/>
      <c r="AE149" s="173"/>
      <c r="AF149" s="173"/>
      <c r="AG149" s="173"/>
      <c r="AH149" s="173"/>
      <c r="AI149" s="173"/>
      <c r="AJ149" s="173"/>
    </row>
    <row r="150" spans="2:36" ht="15.75" x14ac:dyDescent="0.25">
      <c r="B150" s="157" t="s">
        <v>131</v>
      </c>
      <c r="C150" s="157"/>
      <c r="D150" s="157"/>
      <c r="E150" s="194"/>
      <c r="F150" s="194"/>
      <c r="G150" s="173">
        <v>0</v>
      </c>
      <c r="H150" s="173">
        <f>G153</f>
        <v>-130189.13271563457</v>
      </c>
      <c r="I150" s="173">
        <f t="shared" ref="I150:AJ150" si="38">H153</f>
        <v>0</v>
      </c>
      <c r="J150" s="173">
        <f t="shared" si="38"/>
        <v>0</v>
      </c>
      <c r="K150" s="173">
        <f t="shared" si="38"/>
        <v>0</v>
      </c>
      <c r="L150" s="173">
        <f t="shared" si="38"/>
        <v>0</v>
      </c>
      <c r="M150" s="173">
        <f t="shared" si="38"/>
        <v>0</v>
      </c>
      <c r="N150" s="173">
        <f t="shared" si="38"/>
        <v>0</v>
      </c>
      <c r="O150" s="173">
        <f t="shared" si="38"/>
        <v>0</v>
      </c>
      <c r="P150" s="173">
        <f t="shared" si="38"/>
        <v>0</v>
      </c>
      <c r="Q150" s="173">
        <f t="shared" si="38"/>
        <v>0</v>
      </c>
      <c r="R150" s="173">
        <f t="shared" si="38"/>
        <v>0</v>
      </c>
      <c r="S150" s="173">
        <f t="shared" si="38"/>
        <v>0</v>
      </c>
      <c r="T150" s="173">
        <f t="shared" si="38"/>
        <v>0</v>
      </c>
      <c r="U150" s="173">
        <f t="shared" si="38"/>
        <v>0</v>
      </c>
      <c r="V150" s="173">
        <f t="shared" si="38"/>
        <v>0</v>
      </c>
      <c r="W150" s="173">
        <f t="shared" si="38"/>
        <v>0</v>
      </c>
      <c r="X150" s="173">
        <f t="shared" si="38"/>
        <v>0</v>
      </c>
      <c r="Y150" s="173">
        <f t="shared" si="38"/>
        <v>0</v>
      </c>
      <c r="Z150" s="173">
        <f t="shared" si="38"/>
        <v>0</v>
      </c>
      <c r="AA150" s="173">
        <f t="shared" si="38"/>
        <v>0</v>
      </c>
      <c r="AB150" s="173">
        <f t="shared" si="38"/>
        <v>0</v>
      </c>
      <c r="AC150" s="173">
        <f t="shared" si="38"/>
        <v>0</v>
      </c>
      <c r="AD150" s="173">
        <f t="shared" si="38"/>
        <v>0</v>
      </c>
      <c r="AE150" s="173">
        <f t="shared" si="38"/>
        <v>0</v>
      </c>
      <c r="AF150" s="173">
        <f t="shared" si="38"/>
        <v>0</v>
      </c>
      <c r="AG150" s="173">
        <f t="shared" si="38"/>
        <v>0</v>
      </c>
      <c r="AH150" s="173">
        <f t="shared" si="38"/>
        <v>0</v>
      </c>
      <c r="AI150" s="173">
        <f t="shared" si="38"/>
        <v>0</v>
      </c>
      <c r="AJ150" s="173">
        <f t="shared" si="38"/>
        <v>0</v>
      </c>
    </row>
    <row r="151" spans="2:36" ht="15.75" x14ac:dyDescent="0.25">
      <c r="B151" s="157" t="s">
        <v>132</v>
      </c>
      <c r="C151" s="157"/>
      <c r="D151" s="157"/>
      <c r="E151" s="194"/>
      <c r="F151" s="194"/>
      <c r="G151" s="173">
        <f>IF(G$139&gt;0,0,-G$139)</f>
        <v>0</v>
      </c>
      <c r="H151" s="173">
        <f t="shared" ref="H151:AJ151" si="39">IF(H$139&gt;0,0,-H$139)</f>
        <v>0</v>
      </c>
      <c r="I151" s="173">
        <f t="shared" si="39"/>
        <v>0</v>
      </c>
      <c r="J151" s="173">
        <f t="shared" si="39"/>
        <v>0</v>
      </c>
      <c r="K151" s="173">
        <f t="shared" si="39"/>
        <v>0</v>
      </c>
      <c r="L151" s="173">
        <f t="shared" si="39"/>
        <v>0</v>
      </c>
      <c r="M151" s="173">
        <f t="shared" si="39"/>
        <v>0</v>
      </c>
      <c r="N151" s="173">
        <f t="shared" si="39"/>
        <v>0</v>
      </c>
      <c r="O151" s="173">
        <f t="shared" si="39"/>
        <v>0</v>
      </c>
      <c r="P151" s="173">
        <f t="shared" si="39"/>
        <v>0</v>
      </c>
      <c r="Q151" s="173">
        <f t="shared" si="39"/>
        <v>0</v>
      </c>
      <c r="R151" s="173">
        <f t="shared" si="39"/>
        <v>0</v>
      </c>
      <c r="S151" s="173">
        <f t="shared" si="39"/>
        <v>0</v>
      </c>
      <c r="T151" s="173">
        <f t="shared" si="39"/>
        <v>0</v>
      </c>
      <c r="U151" s="173">
        <f t="shared" si="39"/>
        <v>0</v>
      </c>
      <c r="V151" s="173">
        <f t="shared" si="39"/>
        <v>0</v>
      </c>
      <c r="W151" s="173">
        <f t="shared" si="39"/>
        <v>0</v>
      </c>
      <c r="X151" s="173">
        <f t="shared" si="39"/>
        <v>0</v>
      </c>
      <c r="Y151" s="173">
        <f t="shared" si="39"/>
        <v>0</v>
      </c>
      <c r="Z151" s="173">
        <f t="shared" si="39"/>
        <v>0</v>
      </c>
      <c r="AA151" s="173">
        <f t="shared" si="39"/>
        <v>0</v>
      </c>
      <c r="AB151" s="173">
        <f t="shared" si="39"/>
        <v>0</v>
      </c>
      <c r="AC151" s="173">
        <f t="shared" si="39"/>
        <v>0</v>
      </c>
      <c r="AD151" s="173">
        <f t="shared" si="39"/>
        <v>0</v>
      </c>
      <c r="AE151" s="173">
        <f t="shared" si="39"/>
        <v>0</v>
      </c>
      <c r="AF151" s="173">
        <f t="shared" si="39"/>
        <v>0</v>
      </c>
      <c r="AG151" s="173">
        <f t="shared" si="39"/>
        <v>0</v>
      </c>
      <c r="AH151" s="173">
        <f t="shared" si="39"/>
        <v>0</v>
      </c>
      <c r="AI151" s="173">
        <f t="shared" si="39"/>
        <v>0</v>
      </c>
      <c r="AJ151" s="173">
        <f t="shared" si="39"/>
        <v>0</v>
      </c>
    </row>
    <row r="152" spans="2:36" ht="15.75" x14ac:dyDescent="0.25">
      <c r="B152" s="157" t="s">
        <v>130</v>
      </c>
      <c r="C152" s="157"/>
      <c r="D152" s="157"/>
      <c r="E152" s="194"/>
      <c r="F152" s="194"/>
      <c r="G152" s="173">
        <f t="shared" ref="G152:AJ152" si="40">IF(G$139&lt;=0,0,-MIN(G$139,F$145))</f>
        <v>-130189.13271563457</v>
      </c>
      <c r="H152" s="173">
        <f t="shared" si="40"/>
        <v>130189.13271563457</v>
      </c>
      <c r="I152" s="173">
        <f t="shared" si="40"/>
        <v>0</v>
      </c>
      <c r="J152" s="173">
        <f t="shared" si="40"/>
        <v>0</v>
      </c>
      <c r="K152" s="173">
        <f t="shared" si="40"/>
        <v>0</v>
      </c>
      <c r="L152" s="173">
        <f t="shared" si="40"/>
        <v>0</v>
      </c>
      <c r="M152" s="173">
        <f t="shared" si="40"/>
        <v>0</v>
      </c>
      <c r="N152" s="173">
        <f t="shared" si="40"/>
        <v>0</v>
      </c>
      <c r="O152" s="173">
        <f t="shared" si="40"/>
        <v>0</v>
      </c>
      <c r="P152" s="173">
        <f t="shared" si="40"/>
        <v>0</v>
      </c>
      <c r="Q152" s="173">
        <f t="shared" si="40"/>
        <v>0</v>
      </c>
      <c r="R152" s="173">
        <f t="shared" si="40"/>
        <v>0</v>
      </c>
      <c r="S152" s="173">
        <f t="shared" si="40"/>
        <v>0</v>
      </c>
      <c r="T152" s="173">
        <f t="shared" si="40"/>
        <v>0</v>
      </c>
      <c r="U152" s="173">
        <f t="shared" si="40"/>
        <v>0</v>
      </c>
      <c r="V152" s="173">
        <f t="shared" si="40"/>
        <v>0</v>
      </c>
      <c r="W152" s="173">
        <f t="shared" si="40"/>
        <v>0</v>
      </c>
      <c r="X152" s="173">
        <f t="shared" si="40"/>
        <v>0</v>
      </c>
      <c r="Y152" s="173">
        <f t="shared" si="40"/>
        <v>0</v>
      </c>
      <c r="Z152" s="173">
        <f t="shared" si="40"/>
        <v>0</v>
      </c>
      <c r="AA152" s="173">
        <f t="shared" si="40"/>
        <v>0</v>
      </c>
      <c r="AB152" s="173">
        <f t="shared" si="40"/>
        <v>0</v>
      </c>
      <c r="AC152" s="173">
        <f t="shared" si="40"/>
        <v>0</v>
      </c>
      <c r="AD152" s="173">
        <f t="shared" si="40"/>
        <v>0</v>
      </c>
      <c r="AE152" s="173">
        <f t="shared" si="40"/>
        <v>0</v>
      </c>
      <c r="AF152" s="173">
        <f t="shared" si="40"/>
        <v>0</v>
      </c>
      <c r="AG152" s="173">
        <f t="shared" si="40"/>
        <v>0</v>
      </c>
      <c r="AH152" s="173">
        <f t="shared" si="40"/>
        <v>0</v>
      </c>
      <c r="AI152" s="173">
        <f t="shared" si="40"/>
        <v>0</v>
      </c>
      <c r="AJ152" s="173">
        <f t="shared" si="40"/>
        <v>0</v>
      </c>
    </row>
    <row r="153" spans="2:36" ht="15.75" x14ac:dyDescent="0.25">
      <c r="B153" s="157" t="s">
        <v>133</v>
      </c>
      <c r="C153" s="157"/>
      <c r="D153" s="157"/>
      <c r="E153" s="194"/>
      <c r="F153" s="194"/>
      <c r="G153" s="173">
        <f>SUM(G150:G152)</f>
        <v>-130189.13271563457</v>
      </c>
      <c r="H153" s="173">
        <f t="shared" ref="H153:AJ153" si="41">SUM(H150:H152)</f>
        <v>0</v>
      </c>
      <c r="I153" s="173">
        <f t="shared" si="41"/>
        <v>0</v>
      </c>
      <c r="J153" s="173">
        <f t="shared" si="41"/>
        <v>0</v>
      </c>
      <c r="K153" s="173">
        <f t="shared" si="41"/>
        <v>0</v>
      </c>
      <c r="L153" s="173">
        <f t="shared" si="41"/>
        <v>0</v>
      </c>
      <c r="M153" s="173">
        <f t="shared" si="41"/>
        <v>0</v>
      </c>
      <c r="N153" s="173">
        <f t="shared" si="41"/>
        <v>0</v>
      </c>
      <c r="O153" s="173">
        <f t="shared" si="41"/>
        <v>0</v>
      </c>
      <c r="P153" s="173">
        <f t="shared" si="41"/>
        <v>0</v>
      </c>
      <c r="Q153" s="173">
        <f t="shared" si="41"/>
        <v>0</v>
      </c>
      <c r="R153" s="173">
        <f t="shared" si="41"/>
        <v>0</v>
      </c>
      <c r="S153" s="173">
        <f t="shared" si="41"/>
        <v>0</v>
      </c>
      <c r="T153" s="173">
        <f t="shared" si="41"/>
        <v>0</v>
      </c>
      <c r="U153" s="173">
        <f t="shared" si="41"/>
        <v>0</v>
      </c>
      <c r="V153" s="173">
        <f t="shared" si="41"/>
        <v>0</v>
      </c>
      <c r="W153" s="173">
        <f t="shared" si="41"/>
        <v>0</v>
      </c>
      <c r="X153" s="173">
        <f t="shared" si="41"/>
        <v>0</v>
      </c>
      <c r="Y153" s="173">
        <f t="shared" si="41"/>
        <v>0</v>
      </c>
      <c r="Z153" s="173">
        <f t="shared" si="41"/>
        <v>0</v>
      </c>
      <c r="AA153" s="173">
        <f t="shared" si="41"/>
        <v>0</v>
      </c>
      <c r="AB153" s="173">
        <f t="shared" si="41"/>
        <v>0</v>
      </c>
      <c r="AC153" s="173">
        <f t="shared" si="41"/>
        <v>0</v>
      </c>
      <c r="AD153" s="173">
        <f t="shared" si="41"/>
        <v>0</v>
      </c>
      <c r="AE153" s="173">
        <f t="shared" si="41"/>
        <v>0</v>
      </c>
      <c r="AF153" s="173">
        <f t="shared" si="41"/>
        <v>0</v>
      </c>
      <c r="AG153" s="173">
        <f t="shared" si="41"/>
        <v>0</v>
      </c>
      <c r="AH153" s="173">
        <f t="shared" si="41"/>
        <v>0</v>
      </c>
      <c r="AI153" s="173">
        <f t="shared" si="41"/>
        <v>0</v>
      </c>
      <c r="AJ153" s="173">
        <f t="shared" si="41"/>
        <v>0</v>
      </c>
    </row>
    <row r="154" spans="2:36" ht="15.75" x14ac:dyDescent="0.25">
      <c r="B154" s="157"/>
      <c r="C154" s="157"/>
      <c r="D154" s="157"/>
      <c r="E154" s="194"/>
      <c r="F154" s="194"/>
      <c r="G154" s="194"/>
      <c r="H154" s="194"/>
      <c r="I154" s="194"/>
      <c r="J154" s="194"/>
      <c r="K154" s="194"/>
      <c r="L154" s="194"/>
      <c r="M154" s="194"/>
      <c r="N154" s="194"/>
      <c r="O154" s="194"/>
      <c r="P154" s="194"/>
      <c r="Q154" s="194"/>
      <c r="R154" s="194"/>
      <c r="S154" s="194"/>
      <c r="T154" s="194"/>
      <c r="U154" s="194"/>
      <c r="V154" s="194"/>
      <c r="W154" s="194"/>
      <c r="X154" s="194"/>
      <c r="Y154" s="194"/>
      <c r="Z154" s="194"/>
      <c r="AA154" s="194"/>
      <c r="AB154" s="194"/>
      <c r="AC154" s="194"/>
      <c r="AD154" s="194"/>
      <c r="AE154" s="194"/>
      <c r="AF154" s="194"/>
      <c r="AG154" s="194"/>
      <c r="AH154" s="194"/>
      <c r="AI154" s="194"/>
      <c r="AJ154" s="194"/>
    </row>
    <row r="155" spans="2:36" ht="15.75" x14ac:dyDescent="0.25">
      <c r="B155" s="157" t="s">
        <v>134</v>
      </c>
      <c r="C155" s="157"/>
      <c r="D155" s="157"/>
      <c r="E155" s="194"/>
      <c r="F155" s="194"/>
      <c r="G155" s="173">
        <f>G139+G151+G152</f>
        <v>0</v>
      </c>
      <c r="H155" s="173">
        <f t="shared" ref="H155:AJ155" si="42">H139+H151+H152</f>
        <v>260367.68705368385</v>
      </c>
      <c r="I155" s="173">
        <f t="shared" si="42"/>
        <v>132622.41550371962</v>
      </c>
      <c r="J155" s="173">
        <f t="shared" si="42"/>
        <v>134589.25758837519</v>
      </c>
      <c r="K155" s="173">
        <f t="shared" si="42"/>
        <v>135828.78168364949</v>
      </c>
      <c r="L155" s="173">
        <f t="shared" si="42"/>
        <v>137658.62616582896</v>
      </c>
      <c r="M155" s="173">
        <f t="shared" si="42"/>
        <v>139514.94351505165</v>
      </c>
      <c r="N155" s="173">
        <f t="shared" si="42"/>
        <v>140833.90518877044</v>
      </c>
      <c r="O155" s="173">
        <f t="shared" si="42"/>
        <v>142180.60495359611</v>
      </c>
      <c r="P155" s="173">
        <f t="shared" si="42"/>
        <v>143555.70627996148</v>
      </c>
      <c r="Q155" s="173">
        <f t="shared" si="42"/>
        <v>144958.96317009238</v>
      </c>
      <c r="R155" s="173">
        <f t="shared" si="42"/>
        <v>146362.13518349422</v>
      </c>
      <c r="S155" s="173">
        <f t="shared" si="42"/>
        <v>147793.37063716413</v>
      </c>
      <c r="T155" s="173">
        <f t="shared" si="42"/>
        <v>149253.23079990738</v>
      </c>
      <c r="U155" s="173">
        <f t="shared" si="42"/>
        <v>150742.28816590554</v>
      </c>
      <c r="V155" s="173">
        <f t="shared" si="42"/>
        <v>152261.12667922367</v>
      </c>
      <c r="W155" s="173">
        <f t="shared" si="42"/>
        <v>153810.3419628081</v>
      </c>
      <c r="X155" s="173">
        <f t="shared" si="42"/>
        <v>155390.54155206433</v>
      </c>
      <c r="Y155" s="173">
        <f t="shared" si="42"/>
        <v>157002.34513310558</v>
      </c>
      <c r="Z155" s="173">
        <f t="shared" si="42"/>
        <v>148646.3847857677</v>
      </c>
      <c r="AA155" s="173">
        <f t="shared" si="42"/>
        <v>0</v>
      </c>
      <c r="AB155" s="173">
        <f t="shared" si="42"/>
        <v>0</v>
      </c>
      <c r="AC155" s="173">
        <f t="shared" si="42"/>
        <v>0</v>
      </c>
      <c r="AD155" s="173">
        <f t="shared" si="42"/>
        <v>0</v>
      </c>
      <c r="AE155" s="173">
        <f t="shared" si="42"/>
        <v>0</v>
      </c>
      <c r="AF155" s="173">
        <f t="shared" si="42"/>
        <v>0</v>
      </c>
      <c r="AG155" s="173">
        <f t="shared" si="42"/>
        <v>0</v>
      </c>
      <c r="AH155" s="173">
        <f t="shared" si="42"/>
        <v>0</v>
      </c>
      <c r="AI155" s="173">
        <f t="shared" si="42"/>
        <v>0</v>
      </c>
      <c r="AJ155" s="173">
        <f t="shared" si="42"/>
        <v>0</v>
      </c>
    </row>
    <row r="156" spans="2:36" ht="15.75" thickBot="1" x14ac:dyDescent="0.3">
      <c r="B156" s="195"/>
      <c r="C156" s="195"/>
      <c r="D156" s="195"/>
      <c r="E156" s="195"/>
      <c r="F156" s="195"/>
      <c r="G156" s="195"/>
      <c r="H156" s="195"/>
      <c r="I156" s="195"/>
      <c r="J156" s="195"/>
      <c r="K156" s="195"/>
      <c r="L156" s="195"/>
      <c r="M156" s="195"/>
      <c r="N156" s="195"/>
      <c r="O156" s="195"/>
      <c r="P156" s="195"/>
      <c r="Q156" s="195"/>
      <c r="R156" s="195"/>
      <c r="S156" s="195"/>
      <c r="T156" s="195"/>
      <c r="U156" s="195"/>
      <c r="V156" s="195"/>
      <c r="W156" s="195"/>
      <c r="X156" s="195"/>
      <c r="Y156" s="195"/>
      <c r="Z156" s="195"/>
      <c r="AA156" s="195"/>
      <c r="AB156" s="195"/>
      <c r="AC156" s="195"/>
      <c r="AD156" s="195"/>
      <c r="AE156" s="195"/>
      <c r="AF156" s="195"/>
      <c r="AG156" s="195"/>
      <c r="AH156" s="195"/>
      <c r="AI156" s="195"/>
      <c r="AJ156" s="195"/>
    </row>
    <row r="157" spans="2:36" s="1" customFormat="1" ht="15.75" x14ac:dyDescent="0.25">
      <c r="B157" s="157"/>
      <c r="C157" s="157"/>
      <c r="D157" s="157"/>
      <c r="E157" s="157"/>
      <c r="F157" s="157"/>
      <c r="G157" s="178"/>
      <c r="H157" s="179"/>
      <c r="I157" s="157"/>
      <c r="J157" s="157"/>
      <c r="K157" s="157"/>
      <c r="L157" s="157"/>
      <c r="M157" s="157"/>
      <c r="N157" s="157"/>
      <c r="O157" s="157"/>
      <c r="P157" s="157"/>
      <c r="Q157" s="157"/>
      <c r="R157" s="157"/>
      <c r="S157" s="157"/>
      <c r="T157" s="157"/>
      <c r="U157" s="157"/>
      <c r="V157" s="157"/>
      <c r="W157" s="157"/>
      <c r="X157" s="157"/>
      <c r="Y157" s="157"/>
      <c r="Z157" s="157"/>
      <c r="AA157" s="157"/>
      <c r="AB157" s="157"/>
      <c r="AC157" s="157"/>
      <c r="AD157" s="157"/>
      <c r="AE157" s="157"/>
      <c r="AF157" s="157"/>
      <c r="AG157" s="157"/>
      <c r="AH157" s="157"/>
      <c r="AI157" s="157"/>
      <c r="AJ157" s="157"/>
    </row>
    <row r="158" spans="2:36" s="1" customFormat="1" x14ac:dyDescent="0.2">
      <c r="B158" s="219" t="s">
        <v>136</v>
      </c>
      <c r="C158" s="219"/>
      <c r="D158" s="219"/>
      <c r="E158" s="157"/>
      <c r="F158" s="157"/>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row>
    <row r="159" spans="2:36" s="1" customFormat="1" x14ac:dyDescent="0.2">
      <c r="B159" s="157" t="str">
        <f>B46</f>
        <v>Federal Income Taxes Saved / (Paid), before ITC/PTC</v>
      </c>
      <c r="C159" s="157"/>
      <c r="D159" s="157"/>
      <c r="E159" s="157"/>
      <c r="F159" s="157"/>
      <c r="G159" s="173" t="str">
        <f>IF('Financial Inputs'!$P$13="as generated","N/A",'Detailed Cash Flow'!G46)</f>
        <v>N/A</v>
      </c>
      <c r="H159" s="173" t="str">
        <f>IF('Financial Inputs'!$P$13="as generated","N/A",'Detailed Cash Flow'!H46)</f>
        <v>N/A</v>
      </c>
      <c r="I159" s="173" t="str">
        <f>IF('Financial Inputs'!$P$13="as generated","N/A",'Detailed Cash Flow'!I46)</f>
        <v>N/A</v>
      </c>
      <c r="J159" s="173" t="str">
        <f>IF('Financial Inputs'!$P$13="as generated","N/A",'Detailed Cash Flow'!J46)</f>
        <v>N/A</v>
      </c>
      <c r="K159" s="173" t="str">
        <f>IF('Financial Inputs'!$P$13="as generated","N/A",'Detailed Cash Flow'!K46)</f>
        <v>N/A</v>
      </c>
      <c r="L159" s="173" t="str">
        <f>IF('Financial Inputs'!$P$13="as generated","N/A",'Detailed Cash Flow'!L46)</f>
        <v>N/A</v>
      </c>
      <c r="M159" s="173" t="str">
        <f>IF('Financial Inputs'!$P$13="as generated","N/A",'Detailed Cash Flow'!M46)</f>
        <v>N/A</v>
      </c>
      <c r="N159" s="173" t="str">
        <f>IF('Financial Inputs'!$P$13="as generated","N/A",'Detailed Cash Flow'!N46)</f>
        <v>N/A</v>
      </c>
      <c r="O159" s="173" t="str">
        <f>IF('Financial Inputs'!$P$13="as generated","N/A",'Detailed Cash Flow'!O46)</f>
        <v>N/A</v>
      </c>
      <c r="P159" s="173" t="str">
        <f>IF('Financial Inputs'!$P$13="as generated","N/A",'Detailed Cash Flow'!P46)</f>
        <v>N/A</v>
      </c>
      <c r="Q159" s="173" t="str">
        <f>IF('Financial Inputs'!$P$13="as generated","N/A",'Detailed Cash Flow'!Q46)</f>
        <v>N/A</v>
      </c>
      <c r="R159" s="173" t="str">
        <f>IF('Financial Inputs'!$P$13="as generated","N/A",'Detailed Cash Flow'!R46)</f>
        <v>N/A</v>
      </c>
      <c r="S159" s="173" t="str">
        <f>IF('Financial Inputs'!$P$13="as generated","N/A",'Detailed Cash Flow'!S46)</f>
        <v>N/A</v>
      </c>
      <c r="T159" s="173" t="str">
        <f>IF('Financial Inputs'!$P$13="as generated","N/A",'Detailed Cash Flow'!T46)</f>
        <v>N/A</v>
      </c>
      <c r="U159" s="173" t="str">
        <f>IF('Financial Inputs'!$P$13="as generated","N/A",'Detailed Cash Flow'!U46)</f>
        <v>N/A</v>
      </c>
      <c r="V159" s="173" t="str">
        <f>IF('Financial Inputs'!$P$13="as generated","N/A",'Detailed Cash Flow'!V46)</f>
        <v>N/A</v>
      </c>
      <c r="W159" s="173" t="str">
        <f>IF('Financial Inputs'!$P$13="as generated","N/A",'Detailed Cash Flow'!W46)</f>
        <v>N/A</v>
      </c>
      <c r="X159" s="173" t="str">
        <f>IF('Financial Inputs'!$P$13="as generated","N/A",'Detailed Cash Flow'!X46)</f>
        <v>N/A</v>
      </c>
      <c r="Y159" s="173" t="str">
        <f>IF('Financial Inputs'!$P$13="as generated","N/A",'Detailed Cash Flow'!Y46)</f>
        <v>N/A</v>
      </c>
      <c r="Z159" s="173" t="str">
        <f>IF('Financial Inputs'!$P$13="as generated","N/A",'Detailed Cash Flow'!Z46)</f>
        <v>N/A</v>
      </c>
      <c r="AA159" s="173" t="str">
        <f>IF('Financial Inputs'!$P$13="as generated","N/A",'Detailed Cash Flow'!AA46)</f>
        <v>N/A</v>
      </c>
      <c r="AB159" s="173" t="str">
        <f>IF('Financial Inputs'!$P$13="as generated","N/A",'Detailed Cash Flow'!AB46)</f>
        <v>N/A</v>
      </c>
      <c r="AC159" s="173" t="str">
        <f>IF('Financial Inputs'!$P$13="as generated","N/A",'Detailed Cash Flow'!AC46)</f>
        <v>N/A</v>
      </c>
      <c r="AD159" s="173" t="str">
        <f>IF('Financial Inputs'!$P$13="as generated","N/A",'Detailed Cash Flow'!AD46)</f>
        <v>N/A</v>
      </c>
      <c r="AE159" s="173" t="str">
        <f>IF('Financial Inputs'!$P$13="as generated","N/A",'Detailed Cash Flow'!AE46)</f>
        <v>N/A</v>
      </c>
      <c r="AF159" s="173" t="str">
        <f>IF('Financial Inputs'!$P$13="as generated","N/A",'Detailed Cash Flow'!AF46)</f>
        <v>N/A</v>
      </c>
      <c r="AG159" s="173" t="str">
        <f>IF('Financial Inputs'!$P$13="as generated","N/A",'Detailed Cash Flow'!AG46)</f>
        <v>N/A</v>
      </c>
      <c r="AH159" s="173" t="str">
        <f>IF('Financial Inputs'!$P$13="as generated","N/A",'Detailed Cash Flow'!AH46)</f>
        <v>N/A</v>
      </c>
      <c r="AI159" s="173" t="str">
        <f>IF('Financial Inputs'!$P$13="as generated","N/A",'Detailed Cash Flow'!AI46)</f>
        <v>N/A</v>
      </c>
      <c r="AJ159" s="173" t="str">
        <f>IF('Financial Inputs'!$P$13="as generated","N/A",'Detailed Cash Flow'!AJ46)</f>
        <v>N/A</v>
      </c>
    </row>
    <row r="160" spans="2:36" s="1" customFormat="1" x14ac:dyDescent="0.2">
      <c r="B160" s="157"/>
      <c r="C160" s="157"/>
      <c r="D160" s="157"/>
      <c r="E160" s="157"/>
      <c r="F160" s="157"/>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row>
    <row r="161" spans="2:36" s="1" customFormat="1" x14ac:dyDescent="0.2">
      <c r="B161" s="157" t="s">
        <v>150</v>
      </c>
      <c r="C161" s="157"/>
      <c r="D161" s="157"/>
      <c r="E161" s="157"/>
      <c r="F161" s="157"/>
      <c r="G161" s="173">
        <v>0</v>
      </c>
      <c r="H161" s="173">
        <f>IF('Financial Inputs'!$P$13="as generated",0,G164)</f>
        <v>0</v>
      </c>
      <c r="I161" s="173">
        <f>IF('Financial Inputs'!$P$13="as generated",0,H164)</f>
        <v>0</v>
      </c>
      <c r="J161" s="173">
        <f>IF('Financial Inputs'!$P$13="as generated",0,I164)</f>
        <v>0</v>
      </c>
      <c r="K161" s="173">
        <f>IF('Financial Inputs'!$P$13="as generated",0,J164)</f>
        <v>0</v>
      </c>
      <c r="L161" s="173">
        <f>IF('Financial Inputs'!$P$13="as generated",0,K164)</f>
        <v>0</v>
      </c>
      <c r="M161" s="173">
        <f>IF('Financial Inputs'!$P$13="as generated",0,L164)</f>
        <v>0</v>
      </c>
      <c r="N161" s="173">
        <f>IF('Financial Inputs'!$P$13="as generated",0,M164)</f>
        <v>0</v>
      </c>
      <c r="O161" s="173">
        <f>IF('Financial Inputs'!$P$13="as generated",0,N164)</f>
        <v>0</v>
      </c>
      <c r="P161" s="173">
        <f>IF('Financial Inputs'!$P$13="as generated",0,O164)</f>
        <v>0</v>
      </c>
      <c r="Q161" s="173">
        <f>IF('Financial Inputs'!$P$13="as generated",0,P164)</f>
        <v>0</v>
      </c>
      <c r="R161" s="173">
        <f>IF('Financial Inputs'!$P$13="as generated",0,Q164)</f>
        <v>0</v>
      </c>
      <c r="S161" s="173">
        <f>IF('Financial Inputs'!$P$13="as generated",0,R164)</f>
        <v>0</v>
      </c>
      <c r="T161" s="173">
        <f>IF('Financial Inputs'!$P$13="as generated",0,S164)</f>
        <v>0</v>
      </c>
      <c r="U161" s="173">
        <f>IF('Financial Inputs'!$P$13="as generated",0,T164)</f>
        <v>0</v>
      </c>
      <c r="V161" s="173">
        <f>IF('Financial Inputs'!$P$13="as generated",0,U164)</f>
        <v>0</v>
      </c>
      <c r="W161" s="173">
        <f>IF('Financial Inputs'!$P$13="as generated",0,V164)</f>
        <v>0</v>
      </c>
      <c r="X161" s="173">
        <f>IF('Financial Inputs'!$P$13="as generated",0,W164)</f>
        <v>0</v>
      </c>
      <c r="Y161" s="173">
        <f>IF('Financial Inputs'!$P$13="as generated",0,X164)</f>
        <v>0</v>
      </c>
      <c r="Z161" s="173">
        <f>IF('Financial Inputs'!$P$13="as generated",0,Y164)</f>
        <v>0</v>
      </c>
      <c r="AA161" s="173">
        <f>IF('Financial Inputs'!$P$13="as generated",0,Z164)</f>
        <v>0</v>
      </c>
      <c r="AB161" s="173">
        <f>IF('Financial Inputs'!$P$13="as generated",0,AA164)</f>
        <v>0</v>
      </c>
      <c r="AC161" s="173">
        <f>IF('Financial Inputs'!$P$13="as generated",0,AB164)</f>
        <v>0</v>
      </c>
      <c r="AD161" s="173">
        <f>IF('Financial Inputs'!$P$13="as generated",0,AC164)</f>
        <v>0</v>
      </c>
      <c r="AE161" s="173">
        <f>IF('Financial Inputs'!$P$13="as generated",0,AD164)</f>
        <v>0</v>
      </c>
      <c r="AF161" s="173">
        <f>IF('Financial Inputs'!$P$13="as generated",0,AE164)</f>
        <v>0</v>
      </c>
      <c r="AG161" s="173">
        <f>IF('Financial Inputs'!$P$13="as generated",0,AF164)</f>
        <v>0</v>
      </c>
      <c r="AH161" s="173">
        <f>IF('Financial Inputs'!$P$13="as generated",0,AG164)</f>
        <v>0</v>
      </c>
      <c r="AI161" s="173">
        <f>IF('Financial Inputs'!$P$13="as generated",0,AH164)</f>
        <v>0</v>
      </c>
      <c r="AJ161" s="173">
        <f>IF('Financial Inputs'!$P$13="as generated",0,AI164)</f>
        <v>0</v>
      </c>
    </row>
    <row r="162" spans="2:36" s="1" customFormat="1" x14ac:dyDescent="0.2">
      <c r="B162" s="157" t="s">
        <v>151</v>
      </c>
      <c r="C162" s="157"/>
      <c r="D162" s="157"/>
      <c r="E162" s="157"/>
      <c r="F162" s="157"/>
      <c r="G162" s="173">
        <f>IF('Financial Inputs'!$P$13="as generated",0,IF(G159&lt;=0,#REF!,0))</f>
        <v>0</v>
      </c>
      <c r="H162" s="173">
        <f>IF('Financial Inputs'!$P$13="as generated",0,IF(H159&lt;=0,#REF!,0))</f>
        <v>0</v>
      </c>
      <c r="I162" s="173">
        <f>IF('Financial Inputs'!$P$13="as generated",0,IF(I159&lt;=0,#REF!,0))</f>
        <v>0</v>
      </c>
      <c r="J162" s="173">
        <f>IF('Financial Inputs'!$P$13="as generated",0,IF(J159&lt;=0,#REF!,0))</f>
        <v>0</v>
      </c>
      <c r="K162" s="173">
        <f>IF('Financial Inputs'!$P$13="as generated",0,IF(K159&lt;=0,#REF!,0))</f>
        <v>0</v>
      </c>
      <c r="L162" s="173">
        <f>IF('Financial Inputs'!$P$13="as generated",0,IF(L159&lt;=0,#REF!,0))</f>
        <v>0</v>
      </c>
      <c r="M162" s="173">
        <f>IF('Financial Inputs'!$P$13="as generated",0,IF(M159&lt;=0,#REF!,0))</f>
        <v>0</v>
      </c>
      <c r="N162" s="173">
        <f>IF('Financial Inputs'!$P$13="as generated",0,IF(N159&lt;=0,#REF!,0))</f>
        <v>0</v>
      </c>
      <c r="O162" s="173">
        <f>IF('Financial Inputs'!$P$13="as generated",0,IF(O159&lt;=0,#REF!,0))</f>
        <v>0</v>
      </c>
      <c r="P162" s="173">
        <f>IF('Financial Inputs'!$P$13="as generated",0,IF(P159&lt;=0,#REF!,0))</f>
        <v>0</v>
      </c>
      <c r="Q162" s="173">
        <f>IF('Financial Inputs'!$P$13="as generated",0,IF(Q159&lt;=0,#REF!,0))</f>
        <v>0</v>
      </c>
      <c r="R162" s="173">
        <f>IF('Financial Inputs'!$P$13="as generated",0,IF(R159&lt;=0,#REF!,0))</f>
        <v>0</v>
      </c>
      <c r="S162" s="173">
        <f>IF('Financial Inputs'!$P$13="as generated",0,IF(S159&lt;=0,#REF!,0))</f>
        <v>0</v>
      </c>
      <c r="T162" s="173">
        <f>IF('Financial Inputs'!$P$13="as generated",0,IF(T159&lt;=0,#REF!,0))</f>
        <v>0</v>
      </c>
      <c r="U162" s="173">
        <f>IF('Financial Inputs'!$P$13="as generated",0,IF(U159&lt;=0,#REF!,0))</f>
        <v>0</v>
      </c>
      <c r="V162" s="173">
        <f>IF('Financial Inputs'!$P$13="as generated",0,IF(V159&lt;=0,#REF!,0))</f>
        <v>0</v>
      </c>
      <c r="W162" s="173">
        <f>IF('Financial Inputs'!$P$13="as generated",0,IF(W159&lt;=0,#REF!,0))</f>
        <v>0</v>
      </c>
      <c r="X162" s="173">
        <f>IF('Financial Inputs'!$P$13="as generated",0,IF(X159&lt;=0,#REF!,0))</f>
        <v>0</v>
      </c>
      <c r="Y162" s="173">
        <f>IF('Financial Inputs'!$P$13="as generated",0,IF(Y159&lt;=0,#REF!,0))</f>
        <v>0</v>
      </c>
      <c r="Z162" s="173">
        <f>IF('Financial Inputs'!$P$13="as generated",0,IF(Z159&lt;=0,#REF!,0))</f>
        <v>0</v>
      </c>
      <c r="AA162" s="173">
        <f>IF('Financial Inputs'!$P$13="as generated",0,IF(AA159&lt;=0,#REF!,0))</f>
        <v>0</v>
      </c>
      <c r="AB162" s="173">
        <f>IF('Financial Inputs'!$P$13="as generated",0,IF(AB159&lt;=0,#REF!,0))</f>
        <v>0</v>
      </c>
      <c r="AC162" s="173">
        <f>IF('Financial Inputs'!$P$13="as generated",0,IF(AC159&lt;=0,#REF!,0))</f>
        <v>0</v>
      </c>
      <c r="AD162" s="173">
        <f>IF('Financial Inputs'!$P$13="as generated",0,IF(AD159&lt;=0,#REF!,0))</f>
        <v>0</v>
      </c>
      <c r="AE162" s="173">
        <f>IF('Financial Inputs'!$P$13="as generated",0,IF(AE159&lt;=0,#REF!,0))</f>
        <v>0</v>
      </c>
      <c r="AF162" s="173">
        <f>IF('Financial Inputs'!$P$13="as generated",0,IF(AF159&lt;=0,#REF!,0))</f>
        <v>0</v>
      </c>
      <c r="AG162" s="173">
        <f>IF('Financial Inputs'!$P$13="as generated",0,IF(AG159&lt;=0,#REF!,0))</f>
        <v>0</v>
      </c>
      <c r="AH162" s="173">
        <f>IF('Financial Inputs'!$P$13="as generated",0,IF(AH159&lt;=0,#REF!,0))</f>
        <v>0</v>
      </c>
      <c r="AI162" s="173">
        <f>IF('Financial Inputs'!$P$13="as generated",0,IF(AI159&lt;=0,#REF!,0))</f>
        <v>0</v>
      </c>
      <c r="AJ162" s="173">
        <f>IF('Financial Inputs'!$P$13="as generated",0,IF(AJ159&lt;=0,#REF!,0))</f>
        <v>0</v>
      </c>
    </row>
    <row r="163" spans="2:36" s="1" customFormat="1" x14ac:dyDescent="0.2">
      <c r="B163" s="157" t="s">
        <v>152</v>
      </c>
      <c r="C163" s="157"/>
      <c r="D163" s="157"/>
      <c r="E163" s="157"/>
      <c r="F163" s="157"/>
      <c r="G163" s="173">
        <f>IF('Financial Inputs'!$P$13="as generated",0,IF(G$159&lt;0,MAX(G$159,-G$162),0))</f>
        <v>0</v>
      </c>
      <c r="H163" s="173">
        <f>IF('Financial Inputs'!$P$13="as generated",0,IF(H$159&lt;0,MAX(H$159,-G$164),0))</f>
        <v>0</v>
      </c>
      <c r="I163" s="173">
        <f>IF('Financial Inputs'!$P$13="as generated",0,IF(I$159&lt;0,MAX(I$159,-H$164),0))</f>
        <v>0</v>
      </c>
      <c r="J163" s="173">
        <f>IF('Financial Inputs'!$P$13="as generated",0,IF(J$159&lt;0,MAX(J$159,-I$164),0))</f>
        <v>0</v>
      </c>
      <c r="K163" s="173">
        <f>IF('Financial Inputs'!$P$13="as generated",0,IF(K$159&lt;0,MAX(K$159,-J$164),0))</f>
        <v>0</v>
      </c>
      <c r="L163" s="173">
        <f>IF('Financial Inputs'!$P$13="as generated",0,IF(L$159&lt;0,MAX(L$159,-K$164),0))</f>
        <v>0</v>
      </c>
      <c r="M163" s="173">
        <f>IF('Financial Inputs'!$P$13="as generated",0,IF(M$159&lt;0,MAX(M$159,-L$164),0))</f>
        <v>0</v>
      </c>
      <c r="N163" s="173">
        <f>IF('Financial Inputs'!$P$13="as generated",0,IF(N$159&lt;0,MAX(N$159,-M$164),0))</f>
        <v>0</v>
      </c>
      <c r="O163" s="173">
        <f>IF('Financial Inputs'!$P$13="as generated",0,IF(O$159&lt;0,MAX(O$159,-N$164),0))</f>
        <v>0</v>
      </c>
      <c r="P163" s="173">
        <f>IF('Financial Inputs'!$P$13="as generated",0,IF(P$159&lt;0,MAX(P$159,-O$164),0))</f>
        <v>0</v>
      </c>
      <c r="Q163" s="173">
        <f>IF('Financial Inputs'!$P$13="as generated",0,IF(Q$159&lt;0,MAX(Q$159,-P$164),0))</f>
        <v>0</v>
      </c>
      <c r="R163" s="173">
        <f>IF('Financial Inputs'!$P$13="as generated",0,IF(R$159&lt;0,MAX(R$159,-Q$164),0))</f>
        <v>0</v>
      </c>
      <c r="S163" s="173">
        <f>IF('Financial Inputs'!$P$13="as generated",0,IF(S$159&lt;0,MAX(S$159,-R$164),0))</f>
        <v>0</v>
      </c>
      <c r="T163" s="173">
        <f>IF('Financial Inputs'!$P$13="as generated",0,IF(T$159&lt;0,MAX(T$159,-S$164),0))</f>
        <v>0</v>
      </c>
      <c r="U163" s="173">
        <f>IF('Financial Inputs'!$P$13="as generated",0,IF(U$159&lt;0,MAX(U$159,-T$164),0))</f>
        <v>0</v>
      </c>
      <c r="V163" s="173">
        <f>IF('Financial Inputs'!$P$13="as generated",0,IF(V$159&lt;0,MAX(V$159,-U$164),0))</f>
        <v>0</v>
      </c>
      <c r="W163" s="173">
        <f>IF('Financial Inputs'!$P$13="as generated",0,IF(W$159&lt;0,MAX(W$159,-V$164),0))</f>
        <v>0</v>
      </c>
      <c r="X163" s="173">
        <f>IF('Financial Inputs'!$P$13="as generated",0,IF(X$159&lt;0,MAX(X$159,-W$164),0))</f>
        <v>0</v>
      </c>
      <c r="Y163" s="173">
        <f>IF('Financial Inputs'!$P$13="as generated",0,IF(Y$159&lt;0,MAX(Y$159,-X$164),0))</f>
        <v>0</v>
      </c>
      <c r="Z163" s="173">
        <f>IF('Financial Inputs'!$P$13="as generated",0,IF(Z$159&lt;0,MAX(Z$159,-Y$164),0))</f>
        <v>0</v>
      </c>
      <c r="AA163" s="173">
        <f>IF('Financial Inputs'!$P$13="as generated",0,IF(AA$159&lt;0,MAX(AA$159,-Z$164),0))</f>
        <v>0</v>
      </c>
      <c r="AB163" s="173">
        <f>IF('Financial Inputs'!$P$13="as generated",0,IF(AB$159&lt;0,MAX(AB$159,-AA$164),0))</f>
        <v>0</v>
      </c>
      <c r="AC163" s="173">
        <f>IF('Financial Inputs'!$P$13="as generated",0,IF(AC$159&lt;0,MAX(AC$159,-AB$164),0))</f>
        <v>0</v>
      </c>
      <c r="AD163" s="173">
        <f>IF('Financial Inputs'!$P$13="as generated",0,IF(AD$159&lt;0,MAX(AD$159,-AC$164),0))</f>
        <v>0</v>
      </c>
      <c r="AE163" s="173">
        <f>IF('Financial Inputs'!$P$13="as generated",0,IF(AE$159&lt;0,MAX(AE$159,-AD$164),0))</f>
        <v>0</v>
      </c>
      <c r="AF163" s="173">
        <f>IF('Financial Inputs'!$P$13="as generated",0,IF(AF$159&lt;0,MAX(AF$159,-AE$164),0))</f>
        <v>0</v>
      </c>
      <c r="AG163" s="173">
        <f>IF('Financial Inputs'!$P$13="as generated",0,IF(AG$159&lt;0,MAX(AG$159,-AF$164),0))</f>
        <v>0</v>
      </c>
      <c r="AH163" s="173">
        <f>IF('Financial Inputs'!$P$13="as generated",0,IF(AH$159&lt;0,MAX(AH$159,-AG$164),0))</f>
        <v>0</v>
      </c>
      <c r="AI163" s="173">
        <f>IF('Financial Inputs'!$P$13="as generated",0,IF(AI$159&lt;0,MAX(AI$159,-AH$164),0))</f>
        <v>0</v>
      </c>
      <c r="AJ163" s="173">
        <f>IF('Financial Inputs'!$P$13="as generated",0,IF(AJ$159&lt;0,MAX(AJ$159,-AI$164),0))</f>
        <v>0</v>
      </c>
    </row>
    <row r="164" spans="2:36" s="1" customFormat="1" x14ac:dyDescent="0.2">
      <c r="B164" s="157" t="s">
        <v>153</v>
      </c>
      <c r="C164" s="157"/>
      <c r="D164" s="157"/>
      <c r="E164" s="157"/>
      <c r="F164" s="173">
        <v>0</v>
      </c>
      <c r="G164" s="173">
        <f>SUM(G161:G163)</f>
        <v>0</v>
      </c>
      <c r="H164" s="173">
        <f t="shared" ref="H164:AJ164" si="43">SUM(H161:H163)</f>
        <v>0</v>
      </c>
      <c r="I164" s="173">
        <f t="shared" si="43"/>
        <v>0</v>
      </c>
      <c r="J164" s="173">
        <f t="shared" si="43"/>
        <v>0</v>
      </c>
      <c r="K164" s="173">
        <f t="shared" si="43"/>
        <v>0</v>
      </c>
      <c r="L164" s="173">
        <f t="shared" si="43"/>
        <v>0</v>
      </c>
      <c r="M164" s="173">
        <f t="shared" si="43"/>
        <v>0</v>
      </c>
      <c r="N164" s="173">
        <f t="shared" si="43"/>
        <v>0</v>
      </c>
      <c r="O164" s="173">
        <f t="shared" si="43"/>
        <v>0</v>
      </c>
      <c r="P164" s="173">
        <f t="shared" si="43"/>
        <v>0</v>
      </c>
      <c r="Q164" s="173">
        <f t="shared" si="43"/>
        <v>0</v>
      </c>
      <c r="R164" s="173">
        <f t="shared" si="43"/>
        <v>0</v>
      </c>
      <c r="S164" s="173">
        <f t="shared" si="43"/>
        <v>0</v>
      </c>
      <c r="T164" s="173">
        <f t="shared" si="43"/>
        <v>0</v>
      </c>
      <c r="U164" s="173">
        <f t="shared" si="43"/>
        <v>0</v>
      </c>
      <c r="V164" s="173">
        <f t="shared" si="43"/>
        <v>0</v>
      </c>
      <c r="W164" s="173">
        <f t="shared" si="43"/>
        <v>0</v>
      </c>
      <c r="X164" s="173">
        <f t="shared" si="43"/>
        <v>0</v>
      </c>
      <c r="Y164" s="173">
        <f t="shared" si="43"/>
        <v>0</v>
      </c>
      <c r="Z164" s="173">
        <f t="shared" si="43"/>
        <v>0</v>
      </c>
      <c r="AA164" s="173">
        <f t="shared" si="43"/>
        <v>0</v>
      </c>
      <c r="AB164" s="173">
        <f t="shared" si="43"/>
        <v>0</v>
      </c>
      <c r="AC164" s="173">
        <f t="shared" si="43"/>
        <v>0</v>
      </c>
      <c r="AD164" s="173">
        <f t="shared" si="43"/>
        <v>0</v>
      </c>
      <c r="AE164" s="173">
        <f t="shared" si="43"/>
        <v>0</v>
      </c>
      <c r="AF164" s="173">
        <f t="shared" si="43"/>
        <v>0</v>
      </c>
      <c r="AG164" s="173">
        <f t="shared" si="43"/>
        <v>0</v>
      </c>
      <c r="AH164" s="173">
        <f t="shared" si="43"/>
        <v>0</v>
      </c>
      <c r="AI164" s="173">
        <f t="shared" si="43"/>
        <v>0</v>
      </c>
      <c r="AJ164" s="173">
        <f t="shared" si="43"/>
        <v>0</v>
      </c>
    </row>
    <row r="165" spans="2:36" s="1" customFormat="1" x14ac:dyDescent="0.2">
      <c r="B165" s="157"/>
      <c r="C165" s="157"/>
      <c r="D165" s="157"/>
      <c r="E165" s="157"/>
      <c r="F165" s="157"/>
      <c r="G165" s="157"/>
      <c r="H165" s="179"/>
      <c r="I165" s="157"/>
      <c r="J165" s="157"/>
      <c r="K165" s="157"/>
      <c r="L165" s="157"/>
      <c r="M165" s="157"/>
      <c r="N165" s="157"/>
      <c r="O165" s="157"/>
      <c r="P165" s="157"/>
      <c r="Q165" s="157"/>
      <c r="R165" s="157"/>
      <c r="S165" s="157"/>
      <c r="T165" s="157"/>
      <c r="U165" s="157"/>
      <c r="V165" s="157"/>
      <c r="W165" s="157"/>
      <c r="X165" s="157"/>
      <c r="Y165" s="157"/>
      <c r="Z165" s="157"/>
      <c r="AA165" s="157"/>
      <c r="AB165" s="157"/>
      <c r="AC165" s="157"/>
      <c r="AD165" s="157"/>
      <c r="AE165" s="157"/>
      <c r="AF165" s="157"/>
      <c r="AG165" s="157"/>
      <c r="AH165" s="157"/>
      <c r="AI165" s="157"/>
      <c r="AJ165" s="157"/>
    </row>
    <row r="166" spans="2:36" s="1" customFormat="1" x14ac:dyDescent="0.2">
      <c r="B166" s="219" t="s">
        <v>136</v>
      </c>
      <c r="C166" s="219"/>
      <c r="D166" s="219"/>
      <c r="E166" s="157"/>
      <c r="F166" s="157"/>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row>
    <row r="167" spans="2:36" s="1" customFormat="1" x14ac:dyDescent="0.2">
      <c r="B167" s="157" t="str">
        <f>B47</f>
        <v>State Income Taxes Saved / (Paid), before ITC/PTC</v>
      </c>
      <c r="C167" s="157"/>
      <c r="D167" s="157"/>
      <c r="E167" s="157"/>
      <c r="F167" s="157"/>
      <c r="G167" s="173" t="str">
        <f>IF('Financial Inputs'!$P$15="as generated","N/A",'Detailed Cash Flow'!G47)</f>
        <v>N/A</v>
      </c>
      <c r="H167" s="173" t="str">
        <f>IF('Financial Inputs'!$P$15="as generated","N/A",'Detailed Cash Flow'!H47)</f>
        <v>N/A</v>
      </c>
      <c r="I167" s="173" t="str">
        <f>IF('Financial Inputs'!$P$15="as generated","N/A",'Detailed Cash Flow'!I47)</f>
        <v>N/A</v>
      </c>
      <c r="J167" s="173" t="str">
        <f>IF('Financial Inputs'!$P$15="as generated","N/A",'Detailed Cash Flow'!J47)</f>
        <v>N/A</v>
      </c>
      <c r="K167" s="173" t="str">
        <f>IF('Financial Inputs'!$P$15="as generated","N/A",'Detailed Cash Flow'!K47)</f>
        <v>N/A</v>
      </c>
      <c r="L167" s="173" t="str">
        <f>IF('Financial Inputs'!$P$15="as generated","N/A",'Detailed Cash Flow'!L47)</f>
        <v>N/A</v>
      </c>
      <c r="M167" s="173" t="str">
        <f>IF('Financial Inputs'!$P$15="as generated","N/A",'Detailed Cash Flow'!M47)</f>
        <v>N/A</v>
      </c>
      <c r="N167" s="173" t="str">
        <f>IF('Financial Inputs'!$P$15="as generated","N/A",'Detailed Cash Flow'!N47)</f>
        <v>N/A</v>
      </c>
      <c r="O167" s="173" t="str">
        <f>IF('Financial Inputs'!$P$15="as generated","N/A",'Detailed Cash Flow'!O47)</f>
        <v>N/A</v>
      </c>
      <c r="P167" s="173" t="str">
        <f>IF('Financial Inputs'!$P$15="as generated","N/A",'Detailed Cash Flow'!P47)</f>
        <v>N/A</v>
      </c>
      <c r="Q167" s="173" t="str">
        <f>IF('Financial Inputs'!$P$15="as generated","N/A",'Detailed Cash Flow'!Q47)</f>
        <v>N/A</v>
      </c>
      <c r="R167" s="173" t="str">
        <f>IF('Financial Inputs'!$P$15="as generated","N/A",'Detailed Cash Flow'!R47)</f>
        <v>N/A</v>
      </c>
      <c r="S167" s="173" t="str">
        <f>IF('Financial Inputs'!$P$15="as generated","N/A",'Detailed Cash Flow'!S47)</f>
        <v>N/A</v>
      </c>
      <c r="T167" s="173" t="str">
        <f>IF('Financial Inputs'!$P$15="as generated","N/A",'Detailed Cash Flow'!T47)</f>
        <v>N/A</v>
      </c>
      <c r="U167" s="173" t="str">
        <f>IF('Financial Inputs'!$P$15="as generated","N/A",'Detailed Cash Flow'!U47)</f>
        <v>N/A</v>
      </c>
      <c r="V167" s="173" t="str">
        <f>IF('Financial Inputs'!$P$15="as generated","N/A",'Detailed Cash Flow'!V47)</f>
        <v>N/A</v>
      </c>
      <c r="W167" s="173" t="str">
        <f>IF('Financial Inputs'!$P$15="as generated","N/A",'Detailed Cash Flow'!W47)</f>
        <v>N/A</v>
      </c>
      <c r="X167" s="173" t="str">
        <f>IF('Financial Inputs'!$P$15="as generated","N/A",'Detailed Cash Flow'!X47)</f>
        <v>N/A</v>
      </c>
      <c r="Y167" s="173" t="str">
        <f>IF('Financial Inputs'!$P$15="as generated","N/A",'Detailed Cash Flow'!Y47)</f>
        <v>N/A</v>
      </c>
      <c r="Z167" s="173" t="str">
        <f>IF('Financial Inputs'!$P$15="as generated","N/A",'Detailed Cash Flow'!Z47)</f>
        <v>N/A</v>
      </c>
      <c r="AA167" s="173" t="str">
        <f>IF('Financial Inputs'!$P$15="as generated","N/A",'Detailed Cash Flow'!AA47)</f>
        <v>N/A</v>
      </c>
      <c r="AB167" s="173" t="str">
        <f>IF('Financial Inputs'!$P$15="as generated","N/A",'Detailed Cash Flow'!AB47)</f>
        <v>N/A</v>
      </c>
      <c r="AC167" s="173" t="str">
        <f>IF('Financial Inputs'!$P$15="as generated","N/A",'Detailed Cash Flow'!AC47)</f>
        <v>N/A</v>
      </c>
      <c r="AD167" s="173" t="str">
        <f>IF('Financial Inputs'!$P$15="as generated","N/A",'Detailed Cash Flow'!AD47)</f>
        <v>N/A</v>
      </c>
      <c r="AE167" s="173" t="str">
        <f>IF('Financial Inputs'!$P$15="as generated","N/A",'Detailed Cash Flow'!AE47)</f>
        <v>N/A</v>
      </c>
      <c r="AF167" s="173" t="str">
        <f>IF('Financial Inputs'!$P$15="as generated","N/A",'Detailed Cash Flow'!AF47)</f>
        <v>N/A</v>
      </c>
      <c r="AG167" s="173" t="str">
        <f>IF('Financial Inputs'!$P$15="as generated","N/A",'Detailed Cash Flow'!AG47)</f>
        <v>N/A</v>
      </c>
      <c r="AH167" s="173" t="str">
        <f>IF('Financial Inputs'!$P$15="as generated","N/A",'Detailed Cash Flow'!AH47)</f>
        <v>N/A</v>
      </c>
      <c r="AI167" s="173" t="str">
        <f>IF('Financial Inputs'!$P$15="as generated","N/A",'Detailed Cash Flow'!AI47)</f>
        <v>N/A</v>
      </c>
      <c r="AJ167" s="173" t="str">
        <f>IF('Financial Inputs'!$P$15="as generated","N/A",'Detailed Cash Flow'!AJ47)</f>
        <v>N/A</v>
      </c>
    </row>
    <row r="168" spans="2:36" s="1" customFormat="1" x14ac:dyDescent="0.2">
      <c r="B168" s="157"/>
      <c r="C168" s="157"/>
      <c r="D168" s="157"/>
      <c r="E168" s="157"/>
      <c r="F168" s="157"/>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row>
    <row r="169" spans="2:36" s="1" customFormat="1" x14ac:dyDescent="0.2">
      <c r="B169" s="157" t="s">
        <v>150</v>
      </c>
      <c r="C169" s="157"/>
      <c r="D169" s="157"/>
      <c r="E169" s="157"/>
      <c r="F169" s="157"/>
      <c r="G169" s="173">
        <v>0</v>
      </c>
      <c r="H169" s="173">
        <f>IF('Financial Inputs'!$P$15="as generated",0,G172)</f>
        <v>0</v>
      </c>
      <c r="I169" s="173">
        <f>IF('Financial Inputs'!$P$15="as generated",0,H172)</f>
        <v>0</v>
      </c>
      <c r="J169" s="173">
        <f>IF('Financial Inputs'!$P$15="as generated",0,I172)</f>
        <v>0</v>
      </c>
      <c r="K169" s="173">
        <f>IF('Financial Inputs'!$P$15="as generated",0,J172)</f>
        <v>0</v>
      </c>
      <c r="L169" s="173">
        <f>IF('Financial Inputs'!$P$15="as generated",0,K172)</f>
        <v>0</v>
      </c>
      <c r="M169" s="173">
        <f>IF('Financial Inputs'!$P$15="as generated",0,L172)</f>
        <v>0</v>
      </c>
      <c r="N169" s="173">
        <f>IF('Financial Inputs'!$P$15="as generated",0,M172)</f>
        <v>0</v>
      </c>
      <c r="O169" s="173">
        <f>IF('Financial Inputs'!$P$15="as generated",0,N172)</f>
        <v>0</v>
      </c>
      <c r="P169" s="173">
        <f>IF('Financial Inputs'!$P$15="as generated",0,O172)</f>
        <v>0</v>
      </c>
      <c r="Q169" s="173">
        <f>IF('Financial Inputs'!$P$15="as generated",0,P172)</f>
        <v>0</v>
      </c>
      <c r="R169" s="173">
        <f>IF('Financial Inputs'!$P$15="as generated",0,Q172)</f>
        <v>0</v>
      </c>
      <c r="S169" s="173">
        <f>IF('Financial Inputs'!$P$15="as generated",0,R172)</f>
        <v>0</v>
      </c>
      <c r="T169" s="173">
        <f>IF('Financial Inputs'!$P$15="as generated",0,S172)</f>
        <v>0</v>
      </c>
      <c r="U169" s="173">
        <f>IF('Financial Inputs'!$P$15="as generated",0,T172)</f>
        <v>0</v>
      </c>
      <c r="V169" s="173">
        <f>IF('Financial Inputs'!$P$15="as generated",0,U172)</f>
        <v>0</v>
      </c>
      <c r="W169" s="173">
        <f>IF('Financial Inputs'!$P$15="as generated",0,V172)</f>
        <v>0</v>
      </c>
      <c r="X169" s="173">
        <f>IF('Financial Inputs'!$P$15="as generated",0,W172)</f>
        <v>0</v>
      </c>
      <c r="Y169" s="173">
        <f>IF('Financial Inputs'!$P$15="as generated",0,X172)</f>
        <v>0</v>
      </c>
      <c r="Z169" s="173">
        <f>IF('Financial Inputs'!$P$15="as generated",0,Y172)</f>
        <v>0</v>
      </c>
      <c r="AA169" s="173">
        <f>IF('Financial Inputs'!$P$15="as generated",0,Z172)</f>
        <v>0</v>
      </c>
      <c r="AB169" s="173">
        <f>IF('Financial Inputs'!$P$15="as generated",0,AA172)</f>
        <v>0</v>
      </c>
      <c r="AC169" s="173">
        <f>IF('Financial Inputs'!$P$15="as generated",0,AB172)</f>
        <v>0</v>
      </c>
      <c r="AD169" s="173">
        <f>IF('Financial Inputs'!$P$15="as generated",0,AC172)</f>
        <v>0</v>
      </c>
      <c r="AE169" s="173">
        <f>IF('Financial Inputs'!$P$15="as generated",0,AD172)</f>
        <v>0</v>
      </c>
      <c r="AF169" s="173">
        <f>IF('Financial Inputs'!$P$15="as generated",0,AE172)</f>
        <v>0</v>
      </c>
      <c r="AG169" s="173">
        <f>IF('Financial Inputs'!$P$15="as generated",0,AF172)</f>
        <v>0</v>
      </c>
      <c r="AH169" s="173">
        <f>IF('Financial Inputs'!$P$15="as generated",0,AG172)</f>
        <v>0</v>
      </c>
      <c r="AI169" s="173">
        <f>IF('Financial Inputs'!$P$15="as generated",0,AH172)</f>
        <v>0</v>
      </c>
      <c r="AJ169" s="173">
        <f>IF('Financial Inputs'!$P$15="as generated",0,AI172)</f>
        <v>0</v>
      </c>
    </row>
    <row r="170" spans="2:36" s="1" customFormat="1" x14ac:dyDescent="0.2">
      <c r="B170" s="157" t="s">
        <v>151</v>
      </c>
      <c r="C170" s="157"/>
      <c r="D170" s="157"/>
      <c r="E170" s="157"/>
      <c r="F170" s="157"/>
      <c r="G170" s="173">
        <f>IF('Financial Inputs'!$P$15="as generated",0,IF(G167&lt;=0,#REF!,0))</f>
        <v>0</v>
      </c>
      <c r="H170" s="173">
        <f>IF('Financial Inputs'!$P$15="as generated",0,IF(H167&lt;=0,#REF!,0))</f>
        <v>0</v>
      </c>
      <c r="I170" s="173">
        <f>IF('Financial Inputs'!$P$15="as generated",0,IF(I167&lt;=0,#REF!,0))</f>
        <v>0</v>
      </c>
      <c r="J170" s="173">
        <f>IF('Financial Inputs'!$P$15="as generated",0,IF(J167&lt;=0,#REF!,0))</f>
        <v>0</v>
      </c>
      <c r="K170" s="173">
        <f>IF('Financial Inputs'!$P$15="as generated",0,IF(K167&lt;=0,#REF!,0))</f>
        <v>0</v>
      </c>
      <c r="L170" s="173">
        <f>IF('Financial Inputs'!$P$15="as generated",0,IF(L167&lt;=0,#REF!,0))</f>
        <v>0</v>
      </c>
      <c r="M170" s="173">
        <f>IF('Financial Inputs'!$P$15="as generated",0,IF(M167&lt;=0,#REF!,0))</f>
        <v>0</v>
      </c>
      <c r="N170" s="173">
        <f>IF('Financial Inputs'!$P$15="as generated",0,IF(N167&lt;=0,#REF!,0))</f>
        <v>0</v>
      </c>
      <c r="O170" s="173">
        <f>IF('Financial Inputs'!$P$15="as generated",0,IF(O167&lt;=0,#REF!,0))</f>
        <v>0</v>
      </c>
      <c r="P170" s="173">
        <f>IF('Financial Inputs'!$P$15="as generated",0,IF(P167&lt;=0,#REF!,0))</f>
        <v>0</v>
      </c>
      <c r="Q170" s="173">
        <f>IF('Financial Inputs'!$P$15="as generated",0,IF(Q167&lt;=0,#REF!,0))</f>
        <v>0</v>
      </c>
      <c r="R170" s="173">
        <f>IF('Financial Inputs'!$P$15="as generated",0,IF(R167&lt;=0,#REF!,0))</f>
        <v>0</v>
      </c>
      <c r="S170" s="173">
        <f>IF('Financial Inputs'!$P$15="as generated",0,IF(S167&lt;=0,#REF!,0))</f>
        <v>0</v>
      </c>
      <c r="T170" s="173">
        <f>IF('Financial Inputs'!$P$15="as generated",0,IF(T167&lt;=0,#REF!,0))</f>
        <v>0</v>
      </c>
      <c r="U170" s="173">
        <f>IF('Financial Inputs'!$P$15="as generated",0,IF(U167&lt;=0,#REF!,0))</f>
        <v>0</v>
      </c>
      <c r="V170" s="173">
        <f>IF('Financial Inputs'!$P$15="as generated",0,IF(V167&lt;=0,#REF!,0))</f>
        <v>0</v>
      </c>
      <c r="W170" s="173">
        <f>IF('Financial Inputs'!$P$15="as generated",0,IF(W167&lt;=0,#REF!,0))</f>
        <v>0</v>
      </c>
      <c r="X170" s="173">
        <f>IF('Financial Inputs'!$P$15="as generated",0,IF(X167&lt;=0,#REF!,0))</f>
        <v>0</v>
      </c>
      <c r="Y170" s="173">
        <f>IF('Financial Inputs'!$P$15="as generated",0,IF(Y167&lt;=0,#REF!,0))</f>
        <v>0</v>
      </c>
      <c r="Z170" s="173">
        <f>IF('Financial Inputs'!$P$15="as generated",0,IF(Z167&lt;=0,#REF!,0))</f>
        <v>0</v>
      </c>
      <c r="AA170" s="173">
        <f>IF('Financial Inputs'!$P$15="as generated",0,IF(AA167&lt;=0,#REF!,0))</f>
        <v>0</v>
      </c>
      <c r="AB170" s="173">
        <f>IF('Financial Inputs'!$P$15="as generated",0,IF(AB167&lt;=0,#REF!,0))</f>
        <v>0</v>
      </c>
      <c r="AC170" s="173">
        <f>IF('Financial Inputs'!$P$15="as generated",0,IF(AC167&lt;=0,#REF!,0))</f>
        <v>0</v>
      </c>
      <c r="AD170" s="173">
        <f>IF('Financial Inputs'!$P$15="as generated",0,IF(AD167&lt;=0,#REF!,0))</f>
        <v>0</v>
      </c>
      <c r="AE170" s="173">
        <f>IF('Financial Inputs'!$P$15="as generated",0,IF(AE167&lt;=0,#REF!,0))</f>
        <v>0</v>
      </c>
      <c r="AF170" s="173">
        <f>IF('Financial Inputs'!$P$15="as generated",0,IF(AF167&lt;=0,#REF!,0))</f>
        <v>0</v>
      </c>
      <c r="AG170" s="173">
        <f>IF('Financial Inputs'!$P$15="as generated",0,IF(AG167&lt;=0,#REF!,0))</f>
        <v>0</v>
      </c>
      <c r="AH170" s="173">
        <f>IF('Financial Inputs'!$P$15="as generated",0,IF(AH167&lt;=0,#REF!,0))</f>
        <v>0</v>
      </c>
      <c r="AI170" s="173">
        <f>IF('Financial Inputs'!$P$15="as generated",0,IF(AI167&lt;=0,#REF!,0))</f>
        <v>0</v>
      </c>
      <c r="AJ170" s="173">
        <f>IF('Financial Inputs'!$P$15="as generated",0,IF(AJ167&lt;=0,#REF!,0))</f>
        <v>0</v>
      </c>
    </row>
    <row r="171" spans="2:36" s="1" customFormat="1" x14ac:dyDescent="0.2">
      <c r="B171" s="157" t="s">
        <v>152</v>
      </c>
      <c r="C171" s="157"/>
      <c r="D171" s="157"/>
      <c r="E171" s="157"/>
      <c r="F171" s="157"/>
      <c r="G171" s="173">
        <f>IF('Financial Inputs'!$P$15="as generated",0,IF(G$167&lt;0,MAX(G$167,-F$172),0))</f>
        <v>0</v>
      </c>
      <c r="H171" s="173">
        <f>IF('Financial Inputs'!$P$15="as generated",0,IF(H$167&lt;0,MAX(H$167,-G$172),0))</f>
        <v>0</v>
      </c>
      <c r="I171" s="173">
        <f>IF('Financial Inputs'!$P$15="as generated",0,IF(I$167&lt;0,MAX(I$167,-H$172),0))</f>
        <v>0</v>
      </c>
      <c r="J171" s="173">
        <f>IF('Financial Inputs'!$P$15="as generated",0,IF(J$167&lt;0,MAX(J$167,-I$172),0))</f>
        <v>0</v>
      </c>
      <c r="K171" s="173">
        <f>IF('Financial Inputs'!$P$15="as generated",0,IF(K$167&lt;0,MAX(K$167,-J$172),0))</f>
        <v>0</v>
      </c>
      <c r="L171" s="173">
        <f>IF('Financial Inputs'!$P$15="as generated",0,IF(L$167&lt;0,MAX(L$167,-K$172),0))</f>
        <v>0</v>
      </c>
      <c r="M171" s="173">
        <f>IF('Financial Inputs'!$P$15="as generated",0,IF(M$167&lt;0,MAX(M$167,-L$172),0))</f>
        <v>0</v>
      </c>
      <c r="N171" s="173">
        <f>IF('Financial Inputs'!$P$15="as generated",0,IF(N$167&lt;0,MAX(N$167,-M$172),0))</f>
        <v>0</v>
      </c>
      <c r="O171" s="173">
        <f>IF('Financial Inputs'!$P$15="as generated",0,IF(O$167&lt;0,MAX(O$167,-N$172),0))</f>
        <v>0</v>
      </c>
      <c r="P171" s="173">
        <f>IF('Financial Inputs'!$P$15="as generated",0,IF(P$167&lt;0,MAX(P$167,-O$172),0))</f>
        <v>0</v>
      </c>
      <c r="Q171" s="173">
        <f>IF('Financial Inputs'!$P$15="as generated",0,IF(Q$167&lt;0,MAX(Q$167,-P$172),0))</f>
        <v>0</v>
      </c>
      <c r="R171" s="173">
        <f>IF('Financial Inputs'!$P$15="as generated",0,IF(R$167&lt;0,MAX(R$167,-Q$172),0))</f>
        <v>0</v>
      </c>
      <c r="S171" s="173">
        <f>IF('Financial Inputs'!$P$15="as generated",0,IF(S$167&lt;0,MAX(S$167,-R$172),0))</f>
        <v>0</v>
      </c>
      <c r="T171" s="173">
        <f>IF('Financial Inputs'!$P$15="as generated",0,IF(T$167&lt;0,MAX(T$167,-S$172),0))</f>
        <v>0</v>
      </c>
      <c r="U171" s="173">
        <f>IF('Financial Inputs'!$P$15="as generated",0,IF(U$167&lt;0,MAX(U$167,-T$172),0))</f>
        <v>0</v>
      </c>
      <c r="V171" s="173">
        <f>IF('Financial Inputs'!$P$15="as generated",0,IF(V$167&lt;0,MAX(V$167,-U$172),0))</f>
        <v>0</v>
      </c>
      <c r="W171" s="173">
        <f>IF('Financial Inputs'!$P$15="as generated",0,IF(W$167&lt;0,MAX(W$167,-V$172),0))</f>
        <v>0</v>
      </c>
      <c r="X171" s="173">
        <f>IF('Financial Inputs'!$P$15="as generated",0,IF(X$167&lt;0,MAX(X$167,-W$172),0))</f>
        <v>0</v>
      </c>
      <c r="Y171" s="173">
        <f>IF('Financial Inputs'!$P$15="as generated",0,IF(Y$167&lt;0,MAX(Y$167,-X$172),0))</f>
        <v>0</v>
      </c>
      <c r="Z171" s="173">
        <f>IF('Financial Inputs'!$P$15="as generated",0,IF(Z$167&lt;0,MAX(Z$167,-Y$172),0))</f>
        <v>0</v>
      </c>
      <c r="AA171" s="173">
        <f>IF('Financial Inputs'!$P$15="as generated",0,IF(AA$167&lt;0,MAX(AA$167,-Z$172),0))</f>
        <v>0</v>
      </c>
      <c r="AB171" s="173">
        <f>IF('Financial Inputs'!$P$15="as generated",0,IF(AB$167&lt;0,MAX(AB$167,-AA$172),0))</f>
        <v>0</v>
      </c>
      <c r="AC171" s="173">
        <f>IF('Financial Inputs'!$P$15="as generated",0,IF(AC$167&lt;0,MAX(AC$167,-AB$172),0))</f>
        <v>0</v>
      </c>
      <c r="AD171" s="173">
        <f>IF('Financial Inputs'!$P$15="as generated",0,IF(AD$167&lt;0,MAX(AD$167,-AC$172),0))</f>
        <v>0</v>
      </c>
      <c r="AE171" s="173">
        <f>IF('Financial Inputs'!$P$15="as generated",0,IF(AE$167&lt;0,MAX(AE$167,-AD$172),0))</f>
        <v>0</v>
      </c>
      <c r="AF171" s="173">
        <f>IF('Financial Inputs'!$P$15="as generated",0,IF(AF$167&lt;0,MAX(AF$167,-AE$172),0))</f>
        <v>0</v>
      </c>
      <c r="AG171" s="173">
        <f>IF('Financial Inputs'!$P$15="as generated",0,IF(AG$167&lt;0,MAX(AG$167,-AF$172),0))</f>
        <v>0</v>
      </c>
      <c r="AH171" s="173">
        <f>IF('Financial Inputs'!$P$15="as generated",0,IF(AH$167&lt;0,MAX(AH$167,-AG$172),0))</f>
        <v>0</v>
      </c>
      <c r="AI171" s="173">
        <f>IF('Financial Inputs'!$P$15="as generated",0,IF(AI$167&lt;0,MAX(AI$167,-AH$172),0))</f>
        <v>0</v>
      </c>
      <c r="AJ171" s="173">
        <f>IF('Financial Inputs'!$P$15="as generated",0,IF(AJ$167&lt;0,MAX(AJ$167,-AI$172),0))</f>
        <v>0</v>
      </c>
    </row>
    <row r="172" spans="2:36" s="1" customFormat="1" x14ac:dyDescent="0.2">
      <c r="B172" s="157" t="s">
        <v>153</v>
      </c>
      <c r="C172" s="157"/>
      <c r="D172" s="157"/>
      <c r="E172" s="157"/>
      <c r="F172" s="173">
        <v>0</v>
      </c>
      <c r="G172" s="173">
        <f>SUM(G169:G171)</f>
        <v>0</v>
      </c>
      <c r="H172" s="173">
        <f t="shared" ref="H172:AJ172" si="44">SUM(H169:H171)</f>
        <v>0</v>
      </c>
      <c r="I172" s="173">
        <f t="shared" si="44"/>
        <v>0</v>
      </c>
      <c r="J172" s="173">
        <f t="shared" si="44"/>
        <v>0</v>
      </c>
      <c r="K172" s="173">
        <f t="shared" si="44"/>
        <v>0</v>
      </c>
      <c r="L172" s="173">
        <f t="shared" si="44"/>
        <v>0</v>
      </c>
      <c r="M172" s="173">
        <f t="shared" si="44"/>
        <v>0</v>
      </c>
      <c r="N172" s="173">
        <f t="shared" si="44"/>
        <v>0</v>
      </c>
      <c r="O172" s="173">
        <f t="shared" si="44"/>
        <v>0</v>
      </c>
      <c r="P172" s="173">
        <f t="shared" si="44"/>
        <v>0</v>
      </c>
      <c r="Q172" s="173">
        <f t="shared" si="44"/>
        <v>0</v>
      </c>
      <c r="R172" s="173">
        <f t="shared" si="44"/>
        <v>0</v>
      </c>
      <c r="S172" s="173">
        <f t="shared" si="44"/>
        <v>0</v>
      </c>
      <c r="T172" s="173">
        <f t="shared" si="44"/>
        <v>0</v>
      </c>
      <c r="U172" s="173">
        <f t="shared" si="44"/>
        <v>0</v>
      </c>
      <c r="V172" s="173">
        <f t="shared" si="44"/>
        <v>0</v>
      </c>
      <c r="W172" s="173">
        <f t="shared" si="44"/>
        <v>0</v>
      </c>
      <c r="X172" s="173">
        <f t="shared" si="44"/>
        <v>0</v>
      </c>
      <c r="Y172" s="173">
        <f t="shared" si="44"/>
        <v>0</v>
      </c>
      <c r="Z172" s="173">
        <f t="shared" si="44"/>
        <v>0</v>
      </c>
      <c r="AA172" s="173">
        <f t="shared" si="44"/>
        <v>0</v>
      </c>
      <c r="AB172" s="173">
        <f t="shared" si="44"/>
        <v>0</v>
      </c>
      <c r="AC172" s="173">
        <f t="shared" si="44"/>
        <v>0</v>
      </c>
      <c r="AD172" s="173">
        <f t="shared" si="44"/>
        <v>0</v>
      </c>
      <c r="AE172" s="173">
        <f t="shared" si="44"/>
        <v>0</v>
      </c>
      <c r="AF172" s="173">
        <f t="shared" si="44"/>
        <v>0</v>
      </c>
      <c r="AG172" s="173">
        <f t="shared" si="44"/>
        <v>0</v>
      </c>
      <c r="AH172" s="173">
        <f t="shared" si="44"/>
        <v>0</v>
      </c>
      <c r="AI172" s="173">
        <f t="shared" si="44"/>
        <v>0</v>
      </c>
      <c r="AJ172" s="173">
        <f t="shared" si="44"/>
        <v>0</v>
      </c>
    </row>
    <row r="173" spans="2:36" s="1" customFormat="1" ht="16.5" thickBot="1" x14ac:dyDescent="0.3">
      <c r="B173" s="175"/>
      <c r="C173" s="175"/>
      <c r="D173" s="175"/>
      <c r="E173" s="175"/>
      <c r="F173" s="175"/>
      <c r="G173" s="176"/>
      <c r="H173" s="177"/>
      <c r="I173" s="175"/>
      <c r="J173" s="175"/>
      <c r="K173" s="175"/>
      <c r="L173" s="175"/>
      <c r="M173" s="175"/>
      <c r="N173" s="175"/>
      <c r="O173" s="175"/>
      <c r="P173" s="175"/>
      <c r="Q173" s="175"/>
      <c r="R173" s="175"/>
      <c r="S173" s="175"/>
      <c r="T173" s="175"/>
      <c r="U173" s="175"/>
      <c r="V173" s="175"/>
      <c r="W173" s="175"/>
      <c r="X173" s="175"/>
      <c r="Y173" s="175"/>
      <c r="Z173" s="175"/>
      <c r="AA173" s="175"/>
      <c r="AB173" s="175"/>
      <c r="AC173" s="175"/>
      <c r="AD173" s="175"/>
      <c r="AE173" s="175"/>
      <c r="AF173" s="175"/>
      <c r="AG173" s="175"/>
      <c r="AH173" s="175"/>
      <c r="AI173" s="175"/>
      <c r="AJ173" s="175"/>
    </row>
    <row r="174" spans="2:36" x14ac:dyDescent="0.25">
      <c r="B174" s="194"/>
      <c r="C174" s="194"/>
      <c r="D174" s="194"/>
      <c r="E174" s="194"/>
      <c r="F174" s="194"/>
      <c r="G174" s="194"/>
      <c r="H174" s="194"/>
      <c r="I174" s="194"/>
      <c r="J174" s="194"/>
      <c r="K174" s="194"/>
      <c r="L174" s="194"/>
      <c r="M174" s="194"/>
      <c r="N174" s="194"/>
      <c r="O174" s="194"/>
      <c r="P174" s="194"/>
      <c r="Q174" s="194"/>
      <c r="R174" s="194"/>
      <c r="S174" s="194"/>
      <c r="T174" s="194"/>
      <c r="U174" s="194"/>
      <c r="V174" s="194"/>
      <c r="W174" s="194"/>
      <c r="X174" s="194"/>
      <c r="Y174" s="194"/>
      <c r="Z174" s="194"/>
      <c r="AA174" s="194"/>
      <c r="AB174" s="194"/>
      <c r="AC174" s="194"/>
      <c r="AD174" s="194"/>
      <c r="AE174" s="194"/>
      <c r="AF174" s="194"/>
      <c r="AG174" s="194"/>
      <c r="AH174" s="194"/>
      <c r="AI174" s="194"/>
      <c r="AJ174" s="194"/>
    </row>
    <row r="175" spans="2:36" x14ac:dyDescent="0.25">
      <c r="F175" s="248"/>
    </row>
    <row r="176" spans="2:36" x14ac:dyDescent="0.25">
      <c r="F176" s="248"/>
    </row>
    <row r="177" spans="3:25" x14ac:dyDescent="0.25">
      <c r="C177" s="386"/>
      <c r="F177" s="248"/>
      <c r="Y177" s="248"/>
    </row>
    <row r="178" spans="3:25" x14ac:dyDescent="0.25">
      <c r="F178" s="248"/>
    </row>
    <row r="179" spans="3:25" x14ac:dyDescent="0.25">
      <c r="F179" s="248"/>
    </row>
    <row r="180" spans="3:25" x14ac:dyDescent="0.25">
      <c r="F180" s="248"/>
    </row>
    <row r="181" spans="3:25" x14ac:dyDescent="0.25">
      <c r="F181" s="248"/>
    </row>
    <row r="182" spans="3:25" x14ac:dyDescent="0.25">
      <c r="F182" s="248"/>
    </row>
    <row r="183" spans="3:25" x14ac:dyDescent="0.25">
      <c r="F183" s="248"/>
    </row>
    <row r="184" spans="3:25" x14ac:dyDescent="0.25">
      <c r="F184" s="248"/>
    </row>
  </sheetData>
  <sheetProtection sheet="1" objects="1" scenarios="1"/>
  <mergeCells count="3">
    <mergeCell ref="C114:E114"/>
    <mergeCell ref="B51:C51"/>
    <mergeCell ref="B54:C54"/>
  </mergeCells>
  <conditionalFormatting sqref="B8:B9">
    <cfRule type="expression" dxfId="0" priority="6788">
      <formula>$G$16="Simple"</formula>
    </cfRule>
  </conditionalFormatting>
  <dataValidations disablePrompts="1" count="1">
    <dataValidation type="list" allowBlank="1" showInputMessage="1" showErrorMessage="1" sqref="E65579 HW65579 RS65579 ABO65579 ALK65579 AVG65579 BFC65579 BOY65579 BYU65579 CIQ65579 CSM65579 DCI65579 DME65579 DWA65579 EFW65579 EPS65579 EZO65579 FJK65579 FTG65579 GDC65579 GMY65579 GWU65579 HGQ65579 HQM65579 IAI65579 IKE65579 IUA65579 JDW65579 JNS65579 JXO65579 KHK65579 KRG65579 LBC65579 LKY65579 LUU65579 MEQ65579 MOM65579 MYI65579 NIE65579 NSA65579 OBW65579 OLS65579 OVO65579 PFK65579 PPG65579 PZC65579 QIY65579 QSU65579 RCQ65579 RMM65579 RWI65579 SGE65579 SQA65579 SZW65579 TJS65579 TTO65579 UDK65579 UNG65579 UXC65579 VGY65579 VQU65579 WAQ65579 WKM65579 WUI65579 HW131115 RS131115 ABO131115 ALK131115 AVG131115 BFC131115 BOY131115 BYU131115 CIQ131115 CSM131115 DCI131115 DME131115 DWA131115 EFW131115 EPS131115 EZO131115 FJK131115 FTG131115 GDC131115 GMY131115 GWU131115 HGQ131115 HQM131115 IAI131115 IKE131115 IUA131115 JDW131115 JNS131115 JXO131115 KHK131115 KRG131115 LBC131115 LKY131115 LUU131115 MEQ131115 MOM131115 MYI131115 NIE131115 NSA131115 OBW131115 OLS131115 OVO131115 PFK131115 PPG131115 PZC131115 QIY131115 QSU131115 RCQ131115 RMM131115 RWI131115 SGE131115 SQA131115 SZW131115 TJS131115 TTO131115 UDK131115 UNG131115 UXC131115 VGY131115 VQU131115 WAQ131115 WKM131115 WUI131115 HW196651 RS196651 ABO196651 ALK196651 AVG196651 BFC196651 BOY196651 BYU196651 CIQ196651 CSM196651 DCI196651 DME196651 DWA196651 EFW196651 EPS196651 EZO196651 FJK196651 FTG196651 GDC196651 GMY196651 GWU196651 HGQ196651 HQM196651 IAI196651 IKE196651 IUA196651 JDW196651 JNS196651 JXO196651 KHK196651 KRG196651 LBC196651 LKY196651 LUU196651 MEQ196651 MOM196651 MYI196651 NIE196651 NSA196651 OBW196651 OLS196651 OVO196651 PFK196651 PPG196651 PZC196651 QIY196651 QSU196651 RCQ196651 RMM196651 RWI196651 SGE196651 SQA196651 SZW196651 TJS196651 TTO196651 UDK196651 UNG196651 UXC196651 VGY196651 VQU196651 WAQ196651 WKM196651 WUI196651 HW262187 RS262187 ABO262187 ALK262187 AVG262187 BFC262187 BOY262187 BYU262187 CIQ262187 CSM262187 DCI262187 DME262187 DWA262187 EFW262187 EPS262187 EZO262187 FJK262187 FTG262187 GDC262187 GMY262187 GWU262187 HGQ262187 HQM262187 IAI262187 IKE262187 IUA262187 JDW262187 JNS262187 JXO262187 KHK262187 KRG262187 LBC262187 LKY262187 LUU262187 MEQ262187 MOM262187 MYI262187 NIE262187 NSA262187 OBW262187 OLS262187 OVO262187 PFK262187 PPG262187 PZC262187 QIY262187 QSU262187 RCQ262187 RMM262187 RWI262187 SGE262187 SQA262187 SZW262187 TJS262187 TTO262187 UDK262187 UNG262187 UXC262187 VGY262187 VQU262187 WAQ262187 WKM262187 WUI262187 HW327723 RS327723 ABO327723 ALK327723 AVG327723 BFC327723 BOY327723 BYU327723 CIQ327723 CSM327723 DCI327723 DME327723 DWA327723 EFW327723 EPS327723 EZO327723 FJK327723 FTG327723 GDC327723 GMY327723 GWU327723 HGQ327723 HQM327723 IAI327723 IKE327723 IUA327723 JDW327723 JNS327723 JXO327723 KHK327723 KRG327723 LBC327723 LKY327723 LUU327723 MEQ327723 MOM327723 MYI327723 NIE327723 NSA327723 OBW327723 OLS327723 OVO327723 PFK327723 PPG327723 PZC327723 QIY327723 QSU327723 RCQ327723 RMM327723 RWI327723 SGE327723 SQA327723 SZW327723 TJS327723 TTO327723 UDK327723 UNG327723 UXC327723 VGY327723 VQU327723 WAQ327723 WKM327723 WUI327723 HW393259 RS393259 ABO393259 ALK393259 AVG393259 BFC393259 BOY393259 BYU393259 CIQ393259 CSM393259 DCI393259 DME393259 DWA393259 EFW393259 EPS393259 EZO393259 FJK393259 FTG393259 GDC393259 GMY393259 GWU393259 HGQ393259 HQM393259 IAI393259 IKE393259 IUA393259 JDW393259 JNS393259 JXO393259 KHK393259 KRG393259 LBC393259 LKY393259 LUU393259 MEQ393259 MOM393259 MYI393259 NIE393259 NSA393259 OBW393259 OLS393259 OVO393259 PFK393259 PPG393259 PZC393259 QIY393259 QSU393259 RCQ393259 RMM393259 RWI393259 SGE393259 SQA393259 SZW393259 TJS393259 TTO393259 UDK393259 UNG393259 UXC393259 VGY393259 VQU393259 WAQ393259 WKM393259 WUI393259 HW458795 RS458795 ABO458795 ALK458795 AVG458795 BFC458795 BOY458795 BYU458795 CIQ458795 CSM458795 DCI458795 DME458795 DWA458795 EFW458795 EPS458795 EZO458795 FJK458795 FTG458795 GDC458795 GMY458795 GWU458795 HGQ458795 HQM458795 IAI458795 IKE458795 IUA458795 JDW458795 JNS458795 JXO458795 KHK458795 KRG458795 LBC458795 LKY458795 LUU458795 MEQ458795 MOM458795 MYI458795 NIE458795 NSA458795 OBW458795 OLS458795 OVO458795 PFK458795 PPG458795 PZC458795 QIY458795 QSU458795 RCQ458795 RMM458795 RWI458795 SGE458795 SQA458795 SZW458795 TJS458795 TTO458795 UDK458795 UNG458795 UXC458795 VGY458795 VQU458795 WAQ458795 WKM458795 WUI458795 HW524331 RS524331 ABO524331 ALK524331 AVG524331 BFC524331 BOY524331 BYU524331 CIQ524331 CSM524331 DCI524331 DME524331 DWA524331 EFW524331 EPS524331 EZO524331 FJK524331 FTG524331 GDC524331 GMY524331 GWU524331 HGQ524331 HQM524331 IAI524331 IKE524331 IUA524331 JDW524331 JNS524331 JXO524331 KHK524331 KRG524331 LBC524331 LKY524331 LUU524331 MEQ524331 MOM524331 MYI524331 NIE524331 NSA524331 OBW524331 OLS524331 OVO524331 PFK524331 PPG524331 PZC524331 QIY524331 QSU524331 RCQ524331 RMM524331 RWI524331 SGE524331 SQA524331 SZW524331 TJS524331 TTO524331 UDK524331 UNG524331 UXC524331 VGY524331 VQU524331 WAQ524331 WKM524331 WUI524331 HW589867 RS589867 ABO589867 ALK589867 AVG589867 BFC589867 BOY589867 BYU589867 CIQ589867 CSM589867 DCI589867 DME589867 DWA589867 EFW589867 EPS589867 EZO589867 FJK589867 FTG589867 GDC589867 GMY589867 GWU589867 HGQ589867 HQM589867 IAI589867 IKE589867 IUA589867 JDW589867 JNS589867 JXO589867 KHK589867 KRG589867 LBC589867 LKY589867 LUU589867 MEQ589867 MOM589867 MYI589867 NIE589867 NSA589867 OBW589867 OLS589867 OVO589867 PFK589867 PPG589867 PZC589867 QIY589867 QSU589867 RCQ589867 RMM589867 RWI589867 SGE589867 SQA589867 SZW589867 TJS589867 TTO589867 UDK589867 UNG589867 UXC589867 VGY589867 VQU589867 WAQ589867 WKM589867 WUI589867 HW655403 RS655403 ABO655403 ALK655403 AVG655403 BFC655403 BOY655403 BYU655403 CIQ655403 CSM655403 DCI655403 DME655403 DWA655403 EFW655403 EPS655403 EZO655403 FJK655403 FTG655403 GDC655403 GMY655403 GWU655403 HGQ655403 HQM655403 IAI655403 IKE655403 IUA655403 JDW655403 JNS655403 JXO655403 KHK655403 KRG655403 LBC655403 LKY655403 LUU655403 MEQ655403 MOM655403 MYI655403 NIE655403 NSA655403 OBW655403 OLS655403 OVO655403 PFK655403 PPG655403 PZC655403 QIY655403 QSU655403 RCQ655403 RMM655403 RWI655403 SGE655403 SQA655403 SZW655403 TJS655403 TTO655403 UDK655403 UNG655403 UXC655403 VGY655403 VQU655403 WAQ655403 WKM655403 WUI655403 HW720939 RS720939 ABO720939 ALK720939 AVG720939 BFC720939 BOY720939 BYU720939 CIQ720939 CSM720939 DCI720939 DME720939 DWA720939 EFW720939 EPS720939 EZO720939 FJK720939 FTG720939 GDC720939 GMY720939 GWU720939 HGQ720939 HQM720939 IAI720939 IKE720939 IUA720939 JDW720939 JNS720939 JXO720939 KHK720939 KRG720939 LBC720939 LKY720939 LUU720939 MEQ720939 MOM720939 MYI720939 NIE720939 NSA720939 OBW720939 OLS720939 OVO720939 PFK720939 PPG720939 PZC720939 QIY720939 QSU720939 RCQ720939 RMM720939 RWI720939 SGE720939 SQA720939 SZW720939 TJS720939 TTO720939 UDK720939 UNG720939 UXC720939 VGY720939 VQU720939 WAQ720939 WKM720939 WUI720939 HW786475 RS786475 ABO786475 ALK786475 AVG786475 BFC786475 BOY786475 BYU786475 CIQ786475 CSM786475 DCI786475 DME786475 DWA786475 EFW786475 EPS786475 EZO786475 FJK786475 FTG786475 GDC786475 GMY786475 GWU786475 HGQ786475 HQM786475 IAI786475 IKE786475 IUA786475 JDW786475 JNS786475 JXO786475 KHK786475 KRG786475 LBC786475 LKY786475 LUU786475 MEQ786475 MOM786475 MYI786475 NIE786475 NSA786475 OBW786475 OLS786475 OVO786475 PFK786475 PPG786475 PZC786475 QIY786475 QSU786475 RCQ786475 RMM786475 RWI786475 SGE786475 SQA786475 SZW786475 TJS786475 TTO786475 UDK786475 UNG786475 UXC786475 VGY786475 VQU786475 WAQ786475 WKM786475 WUI786475 HW852011 RS852011 ABO852011 ALK852011 AVG852011 BFC852011 BOY852011 BYU852011 CIQ852011 CSM852011 DCI852011 DME852011 DWA852011 EFW852011 EPS852011 EZO852011 FJK852011 FTG852011 GDC852011 GMY852011 GWU852011 HGQ852011 HQM852011 IAI852011 IKE852011 IUA852011 JDW852011 JNS852011 JXO852011 KHK852011 KRG852011 LBC852011 LKY852011 LUU852011 MEQ852011 MOM852011 MYI852011 NIE852011 NSA852011 OBW852011 OLS852011 OVO852011 PFK852011 PPG852011 PZC852011 QIY852011 QSU852011 RCQ852011 RMM852011 RWI852011 SGE852011 SQA852011 SZW852011 TJS852011 TTO852011 UDK852011 UNG852011 UXC852011 VGY852011 VQU852011 WAQ852011 WKM852011 WUI852011 HW917547 RS917547 ABO917547 ALK917547 AVG917547 BFC917547 BOY917547 BYU917547 CIQ917547 CSM917547 DCI917547 DME917547 DWA917547 EFW917547 EPS917547 EZO917547 FJK917547 FTG917547 GDC917547 GMY917547 GWU917547 HGQ917547 HQM917547 IAI917547 IKE917547 IUA917547 JDW917547 JNS917547 JXO917547 KHK917547 KRG917547 LBC917547 LKY917547 LUU917547 MEQ917547 MOM917547 MYI917547 NIE917547 NSA917547 OBW917547 OLS917547 OVO917547 PFK917547 PPG917547 PZC917547 QIY917547 QSU917547 RCQ917547 RMM917547 RWI917547 SGE917547 SQA917547 SZW917547 TJS917547 TTO917547 UDK917547 UNG917547 UXC917547 VGY917547 VQU917547 WAQ917547 WKM917547 WUI917547 HW983083 RS983083 ABO983083 ALK983083 AVG983083 BFC983083 BOY983083 BYU983083 CIQ983083 CSM983083 DCI983083 DME983083 DWA983083 EFW983083 EPS983083 EZO983083 FJK983083 FTG983083 GDC983083 GMY983083 GWU983083 HGQ983083 HQM983083 IAI983083 IKE983083 IUA983083 JDW983083 JNS983083 JXO983083 KHK983083 KRG983083 LBC983083 LKY983083 LUU983083 MEQ983083 MOM983083 MYI983083 NIE983083 NSA983083 OBW983083 OLS983083 OVO983083 PFK983083 PPG983083 PZC983083 QIY983083 QSU983083 RCQ983083 RMM983083 RWI983083 SGE983083 SQA983083 SZW983083 TJS983083 TTO983083 UDK983083 UNG983083 UXC983083 VGY983083 VQU983083 WAQ983083 WKM983083 WUI983083 HW65590 RS65590 ABO65590 ALK65590 AVG65590 BFC65590 BOY65590 BYU65590 CIQ65590 CSM65590 DCI65590 DME65590 DWA65590 EFW65590 EPS65590 EZO65590 FJK65590 FTG65590 GDC65590 GMY65590 GWU65590 HGQ65590 HQM65590 IAI65590 IKE65590 IUA65590 JDW65590 JNS65590 JXO65590 KHK65590 KRG65590 LBC65590 LKY65590 LUU65590 MEQ65590 MOM65590 MYI65590 NIE65590 NSA65590 OBW65590 OLS65590 OVO65590 PFK65590 PPG65590 PZC65590 QIY65590 QSU65590 RCQ65590 RMM65590 RWI65590 SGE65590 SQA65590 SZW65590 TJS65590 TTO65590 UDK65590 UNG65590 UXC65590 VGY65590 VQU65590 WAQ65590 WKM65590 WUI65590 HW131126 RS131126 ABO131126 ALK131126 AVG131126 BFC131126 BOY131126 BYU131126 CIQ131126 CSM131126 DCI131126 DME131126 DWA131126 EFW131126 EPS131126 EZO131126 FJK131126 FTG131126 GDC131126 GMY131126 GWU131126 HGQ131126 HQM131126 IAI131126 IKE131126 IUA131126 JDW131126 JNS131126 JXO131126 KHK131126 KRG131126 LBC131126 LKY131126 LUU131126 MEQ131126 MOM131126 MYI131126 NIE131126 NSA131126 OBW131126 OLS131126 OVO131126 PFK131126 PPG131126 PZC131126 QIY131126 QSU131126 RCQ131126 RMM131126 RWI131126 SGE131126 SQA131126 SZW131126 TJS131126 TTO131126 UDK131126 UNG131126 UXC131126 VGY131126 VQU131126 WAQ131126 WKM131126 WUI131126 HW196662 RS196662 ABO196662 ALK196662 AVG196662 BFC196662 BOY196662 BYU196662 CIQ196662 CSM196662 DCI196662 DME196662 DWA196662 EFW196662 EPS196662 EZO196662 FJK196662 FTG196662 GDC196662 GMY196662 GWU196662 HGQ196662 HQM196662 IAI196662 IKE196662 IUA196662 JDW196662 JNS196662 JXO196662 KHK196662 KRG196662 LBC196662 LKY196662 LUU196662 MEQ196662 MOM196662 MYI196662 NIE196662 NSA196662 OBW196662 OLS196662 OVO196662 PFK196662 PPG196662 PZC196662 QIY196662 QSU196662 RCQ196662 RMM196662 RWI196662 SGE196662 SQA196662 SZW196662 TJS196662 TTO196662 UDK196662 UNG196662 UXC196662 VGY196662 VQU196662 WAQ196662 WKM196662 WUI196662 HW262198 RS262198 ABO262198 ALK262198 AVG262198 BFC262198 BOY262198 BYU262198 CIQ262198 CSM262198 DCI262198 DME262198 DWA262198 EFW262198 EPS262198 EZO262198 FJK262198 FTG262198 GDC262198 GMY262198 GWU262198 HGQ262198 HQM262198 IAI262198 IKE262198 IUA262198 JDW262198 JNS262198 JXO262198 KHK262198 KRG262198 LBC262198 LKY262198 LUU262198 MEQ262198 MOM262198 MYI262198 NIE262198 NSA262198 OBW262198 OLS262198 OVO262198 PFK262198 PPG262198 PZC262198 QIY262198 QSU262198 RCQ262198 RMM262198 RWI262198 SGE262198 SQA262198 SZW262198 TJS262198 TTO262198 UDK262198 UNG262198 UXC262198 VGY262198 VQU262198 WAQ262198 WKM262198 WUI262198 HW327734 RS327734 ABO327734 ALK327734 AVG327734 BFC327734 BOY327734 BYU327734 CIQ327734 CSM327734 DCI327734 DME327734 DWA327734 EFW327734 EPS327734 EZO327734 FJK327734 FTG327734 GDC327734 GMY327734 GWU327734 HGQ327734 HQM327734 IAI327734 IKE327734 IUA327734 JDW327734 JNS327734 JXO327734 KHK327734 KRG327734 LBC327734 LKY327734 LUU327734 MEQ327734 MOM327734 MYI327734 NIE327734 NSA327734 OBW327734 OLS327734 OVO327734 PFK327734 PPG327734 PZC327734 QIY327734 QSU327734 RCQ327734 RMM327734 RWI327734 SGE327734 SQA327734 SZW327734 TJS327734 TTO327734 UDK327734 UNG327734 UXC327734 VGY327734 VQU327734 WAQ327734 WKM327734 WUI327734 HW393270 RS393270 ABO393270 ALK393270 AVG393270 BFC393270 BOY393270 BYU393270 CIQ393270 CSM393270 DCI393270 DME393270 DWA393270 EFW393270 EPS393270 EZO393270 FJK393270 FTG393270 GDC393270 GMY393270 GWU393270 HGQ393270 HQM393270 IAI393270 IKE393270 IUA393270 JDW393270 JNS393270 JXO393270 KHK393270 KRG393270 LBC393270 LKY393270 LUU393270 MEQ393270 MOM393270 MYI393270 NIE393270 NSA393270 OBW393270 OLS393270 OVO393270 PFK393270 PPG393270 PZC393270 QIY393270 QSU393270 RCQ393270 RMM393270 RWI393270 SGE393270 SQA393270 SZW393270 TJS393270 TTO393270 UDK393270 UNG393270 UXC393270 VGY393270 VQU393270 WAQ393270 WKM393270 WUI393270 HW458806 RS458806 ABO458806 ALK458806 AVG458806 BFC458806 BOY458806 BYU458806 CIQ458806 CSM458806 DCI458806 DME458806 DWA458806 EFW458806 EPS458806 EZO458806 FJK458806 FTG458806 GDC458806 GMY458806 GWU458806 HGQ458806 HQM458806 IAI458806 IKE458806 IUA458806 JDW458806 JNS458806 JXO458806 KHK458806 KRG458806 LBC458806 LKY458806 LUU458806 MEQ458806 MOM458806 MYI458806 NIE458806 NSA458806 OBW458806 OLS458806 OVO458806 PFK458806 PPG458806 PZC458806 QIY458806 QSU458806 RCQ458806 RMM458806 RWI458806 SGE458806 SQA458806 SZW458806 TJS458806 TTO458806 UDK458806 UNG458806 UXC458806 VGY458806 VQU458806 WAQ458806 WKM458806 WUI458806 HW524342 RS524342 ABO524342 ALK524342 AVG524342 BFC524342 BOY524342 BYU524342 CIQ524342 CSM524342 DCI524342 DME524342 DWA524342 EFW524342 EPS524342 EZO524342 FJK524342 FTG524342 GDC524342 GMY524342 GWU524342 HGQ524342 HQM524342 IAI524342 IKE524342 IUA524342 JDW524342 JNS524342 JXO524342 KHK524342 KRG524342 LBC524342 LKY524342 LUU524342 MEQ524342 MOM524342 MYI524342 NIE524342 NSA524342 OBW524342 OLS524342 OVO524342 PFK524342 PPG524342 PZC524342 QIY524342 QSU524342 RCQ524342 RMM524342 RWI524342 SGE524342 SQA524342 SZW524342 TJS524342 TTO524342 UDK524342 UNG524342 UXC524342 VGY524342 VQU524342 WAQ524342 WKM524342 WUI524342 HW589878 RS589878 ABO589878 ALK589878 AVG589878 BFC589878 BOY589878 BYU589878 CIQ589878 CSM589878 DCI589878 DME589878 DWA589878 EFW589878 EPS589878 EZO589878 FJK589878 FTG589878 GDC589878 GMY589878 GWU589878 HGQ589878 HQM589878 IAI589878 IKE589878 IUA589878 JDW589878 JNS589878 JXO589878 KHK589878 KRG589878 LBC589878 LKY589878 LUU589878 MEQ589878 MOM589878 MYI589878 NIE589878 NSA589878 OBW589878 OLS589878 OVO589878 PFK589878 PPG589878 PZC589878 QIY589878 QSU589878 RCQ589878 RMM589878 RWI589878 SGE589878 SQA589878 SZW589878 TJS589878 TTO589878 UDK589878 UNG589878 UXC589878 VGY589878 VQU589878 WAQ589878 WKM589878 WUI589878 HW655414 RS655414 ABO655414 ALK655414 AVG655414 BFC655414 BOY655414 BYU655414 CIQ655414 CSM655414 DCI655414 DME655414 DWA655414 EFW655414 EPS655414 EZO655414 FJK655414 FTG655414 GDC655414 GMY655414 GWU655414 HGQ655414 HQM655414 IAI655414 IKE655414 IUA655414 JDW655414 JNS655414 JXO655414 KHK655414 KRG655414 LBC655414 LKY655414 LUU655414 MEQ655414 MOM655414 MYI655414 NIE655414 NSA655414 OBW655414 OLS655414 OVO655414 PFK655414 PPG655414 PZC655414 QIY655414 QSU655414 RCQ655414 RMM655414 RWI655414 SGE655414 SQA655414 SZW655414 TJS655414 TTO655414 UDK655414 UNG655414 UXC655414 VGY655414 VQU655414 WAQ655414 WKM655414 WUI655414 HW720950 RS720950 ABO720950 ALK720950 AVG720950 BFC720950 BOY720950 BYU720950 CIQ720950 CSM720950 DCI720950 DME720950 DWA720950 EFW720950 EPS720950 EZO720950 FJK720950 FTG720950 GDC720950 GMY720950 GWU720950 HGQ720950 HQM720950 IAI720950 IKE720950 IUA720950 JDW720950 JNS720950 JXO720950 KHK720950 KRG720950 LBC720950 LKY720950 LUU720950 MEQ720950 MOM720950 MYI720950 NIE720950 NSA720950 OBW720950 OLS720950 OVO720950 PFK720950 PPG720950 PZC720950 QIY720950 QSU720950 RCQ720950 RMM720950 RWI720950 SGE720950 SQA720950 SZW720950 TJS720950 TTO720950 UDK720950 UNG720950 UXC720950 VGY720950 VQU720950 WAQ720950 WKM720950 WUI720950 HW786486 RS786486 ABO786486 ALK786486 AVG786486 BFC786486 BOY786486 BYU786486 CIQ786486 CSM786486 DCI786486 DME786486 DWA786486 EFW786486 EPS786486 EZO786486 FJK786486 FTG786486 GDC786486 GMY786486 GWU786486 HGQ786486 HQM786486 IAI786486 IKE786486 IUA786486 JDW786486 JNS786486 JXO786486 KHK786486 KRG786486 LBC786486 LKY786486 LUU786486 MEQ786486 MOM786486 MYI786486 NIE786486 NSA786486 OBW786486 OLS786486 OVO786486 PFK786486 PPG786486 PZC786486 QIY786486 QSU786486 RCQ786486 RMM786486 RWI786486 SGE786486 SQA786486 SZW786486 TJS786486 TTO786486 UDK786486 UNG786486 UXC786486 VGY786486 VQU786486 WAQ786486 WKM786486 WUI786486 HW852022 RS852022 ABO852022 ALK852022 AVG852022 BFC852022 BOY852022 BYU852022 CIQ852022 CSM852022 DCI852022 DME852022 DWA852022 EFW852022 EPS852022 EZO852022 FJK852022 FTG852022 GDC852022 GMY852022 GWU852022 HGQ852022 HQM852022 IAI852022 IKE852022 IUA852022 JDW852022 JNS852022 JXO852022 KHK852022 KRG852022 LBC852022 LKY852022 LUU852022 MEQ852022 MOM852022 MYI852022 NIE852022 NSA852022 OBW852022 OLS852022 OVO852022 PFK852022 PPG852022 PZC852022 QIY852022 QSU852022 RCQ852022 RMM852022 RWI852022 SGE852022 SQA852022 SZW852022 TJS852022 TTO852022 UDK852022 UNG852022 UXC852022 VGY852022 VQU852022 WAQ852022 WKM852022 WUI852022 HW917558 RS917558 ABO917558 ALK917558 AVG917558 BFC917558 BOY917558 BYU917558 CIQ917558 CSM917558 DCI917558 DME917558 DWA917558 EFW917558 EPS917558 EZO917558 FJK917558 FTG917558 GDC917558 GMY917558 GWU917558 HGQ917558 HQM917558 IAI917558 IKE917558 IUA917558 JDW917558 JNS917558 JXO917558 KHK917558 KRG917558 LBC917558 LKY917558 LUU917558 MEQ917558 MOM917558 MYI917558 NIE917558 NSA917558 OBW917558 OLS917558 OVO917558 PFK917558 PPG917558 PZC917558 QIY917558 QSU917558 RCQ917558 RMM917558 RWI917558 SGE917558 SQA917558 SZW917558 TJS917558 TTO917558 UDK917558 UNG917558 UXC917558 VGY917558 VQU917558 WAQ917558 WKM917558 WUI917558 HW983094 RS983094 ABO983094 ALK983094 AVG983094 BFC983094 BOY983094 BYU983094 CIQ983094 CSM983094 DCI983094 DME983094 DWA983094 EFW983094 EPS983094 EZO983094 FJK983094 FTG983094 GDC983094 GMY983094 GWU983094 HGQ983094 HQM983094 IAI983094 IKE983094 IUA983094 JDW983094 JNS983094 JXO983094 KHK983094 KRG983094 LBC983094 LKY983094 LUU983094 MEQ983094 MOM983094 MYI983094 NIE983094 NSA983094 OBW983094 OLS983094 OVO983094 PFK983094 PPG983094 PZC983094 QIY983094 QSU983094 RCQ983094 RMM983094 RWI983094 SGE983094 SQA983094 SZW983094 TJS983094 TTO983094 UDK983094 UNG983094 UXC983094 VGY983094 VQU983094 WAQ983094 WKM983094 WUI983094 HW65585 RS65585 ABO65585 ALK65585 AVG65585 BFC65585 BOY65585 BYU65585 CIQ65585 CSM65585 DCI65585 DME65585 DWA65585 EFW65585 EPS65585 EZO65585 FJK65585 FTG65585 GDC65585 GMY65585 GWU65585 HGQ65585 HQM65585 IAI65585 IKE65585 IUA65585 JDW65585 JNS65585 JXO65585 KHK65585 KRG65585 LBC65585 LKY65585 LUU65585 MEQ65585 MOM65585 MYI65585 NIE65585 NSA65585 OBW65585 OLS65585 OVO65585 PFK65585 PPG65585 PZC65585 QIY65585 QSU65585 RCQ65585 RMM65585 RWI65585 SGE65585 SQA65585 SZW65585 TJS65585 TTO65585 UDK65585 UNG65585 UXC65585 VGY65585 VQU65585 WAQ65585 WKM65585 WUI65585 HW131121 RS131121 ABO131121 ALK131121 AVG131121 BFC131121 BOY131121 BYU131121 CIQ131121 CSM131121 DCI131121 DME131121 DWA131121 EFW131121 EPS131121 EZO131121 FJK131121 FTG131121 GDC131121 GMY131121 GWU131121 HGQ131121 HQM131121 IAI131121 IKE131121 IUA131121 JDW131121 JNS131121 JXO131121 KHK131121 KRG131121 LBC131121 LKY131121 LUU131121 MEQ131121 MOM131121 MYI131121 NIE131121 NSA131121 OBW131121 OLS131121 OVO131121 PFK131121 PPG131121 PZC131121 QIY131121 QSU131121 RCQ131121 RMM131121 RWI131121 SGE131121 SQA131121 SZW131121 TJS131121 TTO131121 UDK131121 UNG131121 UXC131121 VGY131121 VQU131121 WAQ131121 WKM131121 WUI131121 HW196657 RS196657 ABO196657 ALK196657 AVG196657 BFC196657 BOY196657 BYU196657 CIQ196657 CSM196657 DCI196657 DME196657 DWA196657 EFW196657 EPS196657 EZO196657 FJK196657 FTG196657 GDC196657 GMY196657 GWU196657 HGQ196657 HQM196657 IAI196657 IKE196657 IUA196657 JDW196657 JNS196657 JXO196657 KHK196657 KRG196657 LBC196657 LKY196657 LUU196657 MEQ196657 MOM196657 MYI196657 NIE196657 NSA196657 OBW196657 OLS196657 OVO196657 PFK196657 PPG196657 PZC196657 QIY196657 QSU196657 RCQ196657 RMM196657 RWI196657 SGE196657 SQA196657 SZW196657 TJS196657 TTO196657 UDK196657 UNG196657 UXC196657 VGY196657 VQU196657 WAQ196657 WKM196657 WUI196657 HW262193 RS262193 ABO262193 ALK262193 AVG262193 BFC262193 BOY262193 BYU262193 CIQ262193 CSM262193 DCI262193 DME262193 DWA262193 EFW262193 EPS262193 EZO262193 FJK262193 FTG262193 GDC262193 GMY262193 GWU262193 HGQ262193 HQM262193 IAI262193 IKE262193 IUA262193 JDW262193 JNS262193 JXO262193 KHK262193 KRG262193 LBC262193 LKY262193 LUU262193 MEQ262193 MOM262193 MYI262193 NIE262193 NSA262193 OBW262193 OLS262193 OVO262193 PFK262193 PPG262193 PZC262193 QIY262193 QSU262193 RCQ262193 RMM262193 RWI262193 SGE262193 SQA262193 SZW262193 TJS262193 TTO262193 UDK262193 UNG262193 UXC262193 VGY262193 VQU262193 WAQ262193 WKM262193 WUI262193 HW327729 RS327729 ABO327729 ALK327729 AVG327729 BFC327729 BOY327729 BYU327729 CIQ327729 CSM327729 DCI327729 DME327729 DWA327729 EFW327729 EPS327729 EZO327729 FJK327729 FTG327729 GDC327729 GMY327729 GWU327729 HGQ327729 HQM327729 IAI327729 IKE327729 IUA327729 JDW327729 JNS327729 JXO327729 KHK327729 KRG327729 LBC327729 LKY327729 LUU327729 MEQ327729 MOM327729 MYI327729 NIE327729 NSA327729 OBW327729 OLS327729 OVO327729 PFK327729 PPG327729 PZC327729 QIY327729 QSU327729 RCQ327729 RMM327729 RWI327729 SGE327729 SQA327729 SZW327729 TJS327729 TTO327729 UDK327729 UNG327729 UXC327729 VGY327729 VQU327729 WAQ327729 WKM327729 WUI327729 HW393265 RS393265 ABO393265 ALK393265 AVG393265 BFC393265 BOY393265 BYU393265 CIQ393265 CSM393265 DCI393265 DME393265 DWA393265 EFW393265 EPS393265 EZO393265 FJK393265 FTG393265 GDC393265 GMY393265 GWU393265 HGQ393265 HQM393265 IAI393265 IKE393265 IUA393265 JDW393265 JNS393265 JXO393265 KHK393265 KRG393265 LBC393265 LKY393265 LUU393265 MEQ393265 MOM393265 MYI393265 NIE393265 NSA393265 OBW393265 OLS393265 OVO393265 PFK393265 PPG393265 PZC393265 QIY393265 QSU393265 RCQ393265 RMM393265 RWI393265 SGE393265 SQA393265 SZW393265 TJS393265 TTO393265 UDK393265 UNG393265 UXC393265 VGY393265 VQU393265 WAQ393265 WKM393265 WUI393265 HW458801 RS458801 ABO458801 ALK458801 AVG458801 BFC458801 BOY458801 BYU458801 CIQ458801 CSM458801 DCI458801 DME458801 DWA458801 EFW458801 EPS458801 EZO458801 FJK458801 FTG458801 GDC458801 GMY458801 GWU458801 HGQ458801 HQM458801 IAI458801 IKE458801 IUA458801 JDW458801 JNS458801 JXO458801 KHK458801 KRG458801 LBC458801 LKY458801 LUU458801 MEQ458801 MOM458801 MYI458801 NIE458801 NSA458801 OBW458801 OLS458801 OVO458801 PFK458801 PPG458801 PZC458801 QIY458801 QSU458801 RCQ458801 RMM458801 RWI458801 SGE458801 SQA458801 SZW458801 TJS458801 TTO458801 UDK458801 UNG458801 UXC458801 VGY458801 VQU458801 WAQ458801 WKM458801 WUI458801 HW524337 RS524337 ABO524337 ALK524337 AVG524337 BFC524337 BOY524337 BYU524337 CIQ524337 CSM524337 DCI524337 DME524337 DWA524337 EFW524337 EPS524337 EZO524337 FJK524337 FTG524337 GDC524337 GMY524337 GWU524337 HGQ524337 HQM524337 IAI524337 IKE524337 IUA524337 JDW524337 JNS524337 JXO524337 KHK524337 KRG524337 LBC524337 LKY524337 LUU524337 MEQ524337 MOM524337 MYI524337 NIE524337 NSA524337 OBW524337 OLS524337 OVO524337 PFK524337 PPG524337 PZC524337 QIY524337 QSU524337 RCQ524337 RMM524337 RWI524337 SGE524337 SQA524337 SZW524337 TJS524337 TTO524337 UDK524337 UNG524337 UXC524337 VGY524337 VQU524337 WAQ524337 WKM524337 WUI524337 HW589873 RS589873 ABO589873 ALK589873 AVG589873 BFC589873 BOY589873 BYU589873 CIQ589873 CSM589873 DCI589873 DME589873 DWA589873 EFW589873 EPS589873 EZO589873 FJK589873 FTG589873 GDC589873 GMY589873 GWU589873 HGQ589873 HQM589873 IAI589873 IKE589873 IUA589873 JDW589873 JNS589873 JXO589873 KHK589873 KRG589873 LBC589873 LKY589873 LUU589873 MEQ589873 MOM589873 MYI589873 NIE589873 NSA589873 OBW589873 OLS589873 OVO589873 PFK589873 PPG589873 PZC589873 QIY589873 QSU589873 RCQ589873 RMM589873 RWI589873 SGE589873 SQA589873 SZW589873 TJS589873 TTO589873 UDK589873 UNG589873 UXC589873 VGY589873 VQU589873 WAQ589873 WKM589873 WUI589873 HW655409 RS655409 ABO655409 ALK655409 AVG655409 BFC655409 BOY655409 BYU655409 CIQ655409 CSM655409 DCI655409 DME655409 DWA655409 EFW655409 EPS655409 EZO655409 FJK655409 FTG655409 GDC655409 GMY655409 GWU655409 HGQ655409 HQM655409 IAI655409 IKE655409 IUA655409 JDW655409 JNS655409 JXO655409 KHK655409 KRG655409 LBC655409 LKY655409 LUU655409 MEQ655409 MOM655409 MYI655409 NIE655409 NSA655409 OBW655409 OLS655409 OVO655409 PFK655409 PPG655409 PZC655409 QIY655409 QSU655409 RCQ655409 RMM655409 RWI655409 SGE655409 SQA655409 SZW655409 TJS655409 TTO655409 UDK655409 UNG655409 UXC655409 VGY655409 VQU655409 WAQ655409 WKM655409 WUI655409 HW720945 RS720945 ABO720945 ALK720945 AVG720945 BFC720945 BOY720945 BYU720945 CIQ720945 CSM720945 DCI720945 DME720945 DWA720945 EFW720945 EPS720945 EZO720945 FJK720945 FTG720945 GDC720945 GMY720945 GWU720945 HGQ720945 HQM720945 IAI720945 IKE720945 IUA720945 JDW720945 JNS720945 JXO720945 KHK720945 KRG720945 LBC720945 LKY720945 LUU720945 MEQ720945 MOM720945 MYI720945 NIE720945 NSA720945 OBW720945 OLS720945 OVO720945 PFK720945 PPG720945 PZC720945 QIY720945 QSU720945 RCQ720945 RMM720945 RWI720945 SGE720945 SQA720945 SZW720945 TJS720945 TTO720945 UDK720945 UNG720945 UXC720945 VGY720945 VQU720945 WAQ720945 WKM720945 WUI720945 HW786481 RS786481 ABO786481 ALK786481 AVG786481 BFC786481 BOY786481 BYU786481 CIQ786481 CSM786481 DCI786481 DME786481 DWA786481 EFW786481 EPS786481 EZO786481 FJK786481 FTG786481 GDC786481 GMY786481 GWU786481 HGQ786481 HQM786481 IAI786481 IKE786481 IUA786481 JDW786481 JNS786481 JXO786481 KHK786481 KRG786481 LBC786481 LKY786481 LUU786481 MEQ786481 MOM786481 MYI786481 NIE786481 NSA786481 OBW786481 OLS786481 OVO786481 PFK786481 PPG786481 PZC786481 QIY786481 QSU786481 RCQ786481 RMM786481 RWI786481 SGE786481 SQA786481 SZW786481 TJS786481 TTO786481 UDK786481 UNG786481 UXC786481 VGY786481 VQU786481 WAQ786481 WKM786481 WUI786481 HW852017 RS852017 ABO852017 ALK852017 AVG852017 BFC852017 BOY852017 BYU852017 CIQ852017 CSM852017 DCI852017 DME852017 DWA852017 EFW852017 EPS852017 EZO852017 FJK852017 FTG852017 GDC852017 GMY852017 GWU852017 HGQ852017 HQM852017 IAI852017 IKE852017 IUA852017 JDW852017 JNS852017 JXO852017 KHK852017 KRG852017 LBC852017 LKY852017 LUU852017 MEQ852017 MOM852017 MYI852017 NIE852017 NSA852017 OBW852017 OLS852017 OVO852017 PFK852017 PPG852017 PZC852017 QIY852017 QSU852017 RCQ852017 RMM852017 RWI852017 SGE852017 SQA852017 SZW852017 TJS852017 TTO852017 UDK852017 UNG852017 UXC852017 VGY852017 VQU852017 WAQ852017 WKM852017 WUI852017 HW917553 RS917553 ABO917553 ALK917553 AVG917553 BFC917553 BOY917553 BYU917553 CIQ917553 CSM917553 DCI917553 DME917553 DWA917553 EFW917553 EPS917553 EZO917553 FJK917553 FTG917553 GDC917553 GMY917553 GWU917553 HGQ917553 HQM917553 IAI917553 IKE917553 IUA917553 JDW917553 JNS917553 JXO917553 KHK917553 KRG917553 LBC917553 LKY917553 LUU917553 MEQ917553 MOM917553 MYI917553 NIE917553 NSA917553 OBW917553 OLS917553 OVO917553 PFK917553 PPG917553 PZC917553 QIY917553 QSU917553 RCQ917553 RMM917553 RWI917553 SGE917553 SQA917553 SZW917553 TJS917553 TTO917553 UDK917553 UNG917553 UXC917553 VGY917553 VQU917553 WAQ917553 WKM917553 WUI917553 HW983089 RS983089 ABO983089 ALK983089 AVG983089 BFC983089 BOY983089 BYU983089 CIQ983089 CSM983089 DCI983089 DME983089 DWA983089 EFW983089 EPS983089 EZO983089 FJK983089 FTG983089 GDC983089 GMY983089 GWU983089 HGQ983089 HQM983089 IAI983089 IKE983089 IUA983089 JDW983089 JNS983089 JXO983089 KHK983089 KRG983089 LBC983089 LKY983089 LUU983089 MEQ983089 MOM983089 MYI983089 NIE983089 NSA983089 OBW983089 OLS983089 OVO983089 PFK983089 PPG983089 PZC983089 QIY983089 QSU983089 RCQ983089 RMM983089 RWI983089 SGE983089 SQA983089 SZW983089 TJS983089 TTO983089 UDK983089 UNG983089 UXC983089 VGY983089 VQU983089 WAQ983089 WKM983089 WUI983089 E983089 E917553 E852017 E786481 E720945 E655409 E589873 E524337 E458801 E393265 E327729 E262193 E196657 E131121 E65585 E983094 E917558 E852022 E786486 E720950 E655414 E589878 E524342 E458806 E393270 E327734 E262198 E196662 E131126 E65590 E983083 E917547 E852011 E786475 E720939 E655403 E589867 E524331 E458795 E393259 E327723 E262187 E196651 E131115" xr:uid="{00000000-0002-0000-0400-000000000000}">
      <formula1>"Yes,No"</formula1>
    </dataValidation>
  </dataValidations>
  <pageMargins left="0.7" right="0.7" top="0.75" bottom="0.75" header="0.3" footer="0.3"/>
  <pageSetup orientation="portrait" horizontalDpi="4294967293"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78AD2-2ADD-4777-9077-860C1C0BE683}">
  <sheetPr codeName="Sheet1"/>
  <dimension ref="A1:K25"/>
  <sheetViews>
    <sheetView workbookViewId="0">
      <selection activeCell="I4" sqref="I4:K4"/>
    </sheetView>
  </sheetViews>
  <sheetFormatPr defaultRowHeight="15" x14ac:dyDescent="0.25"/>
  <cols>
    <col min="1" max="11" width="15.5703125" customWidth="1"/>
  </cols>
  <sheetData>
    <row r="1" spans="1:11" ht="96" customHeight="1" x14ac:dyDescent="0.25">
      <c r="A1" s="428"/>
      <c r="B1" s="428"/>
      <c r="C1" s="428"/>
      <c r="D1" s="428"/>
      <c r="E1" s="428"/>
      <c r="F1" s="428"/>
      <c r="G1" s="428"/>
      <c r="H1" s="428"/>
      <c r="I1" s="428"/>
      <c r="J1" s="428"/>
      <c r="K1" s="428"/>
    </row>
    <row r="2" spans="1:11" ht="33" x14ac:dyDescent="0.25">
      <c r="A2" s="981" t="s">
        <v>591</v>
      </c>
      <c r="B2" s="981"/>
      <c r="C2" s="981"/>
      <c r="D2" s="981"/>
      <c r="E2" s="981"/>
      <c r="F2" s="981"/>
      <c r="G2" s="981"/>
      <c r="H2" s="981"/>
      <c r="I2" s="981"/>
      <c r="J2" s="981"/>
      <c r="K2" s="981"/>
    </row>
    <row r="3" spans="1:11" x14ac:dyDescent="0.25">
      <c r="A3" s="978" t="s">
        <v>579</v>
      </c>
      <c r="B3" s="978"/>
      <c r="C3" s="979" t="s">
        <v>580</v>
      </c>
      <c r="D3" s="979"/>
      <c r="E3" s="979"/>
      <c r="F3" s="979"/>
      <c r="G3" s="979" t="s">
        <v>581</v>
      </c>
      <c r="H3" s="979"/>
      <c r="I3" s="979">
        <v>1</v>
      </c>
      <c r="J3" s="979"/>
      <c r="K3" s="979"/>
    </row>
    <row r="4" spans="1:11" x14ac:dyDescent="0.25">
      <c r="A4" s="978" t="s">
        <v>582</v>
      </c>
      <c r="B4" s="978"/>
      <c r="C4" s="979" t="s">
        <v>595</v>
      </c>
      <c r="D4" s="979"/>
      <c r="E4" s="979"/>
      <c r="F4" s="979"/>
      <c r="G4" s="979" t="s">
        <v>583</v>
      </c>
      <c r="H4" s="979"/>
      <c r="I4" s="980">
        <v>45373</v>
      </c>
      <c r="J4" s="980"/>
      <c r="K4" s="980"/>
    </row>
    <row r="5" spans="1:11" x14ac:dyDescent="0.25">
      <c r="A5" s="978" t="s">
        <v>584</v>
      </c>
      <c r="B5" s="978"/>
      <c r="C5" s="982" t="s">
        <v>592</v>
      </c>
      <c r="D5" s="979"/>
      <c r="E5" s="979"/>
      <c r="F5" s="979"/>
      <c r="G5" s="983"/>
      <c r="H5" s="983"/>
      <c r="I5" s="983"/>
      <c r="J5" s="983"/>
      <c r="K5" s="983"/>
    </row>
    <row r="6" spans="1:11" x14ac:dyDescent="0.25">
      <c r="A6" s="978" t="s">
        <v>585</v>
      </c>
      <c r="B6" s="978"/>
      <c r="C6" s="979"/>
      <c r="D6" s="979"/>
      <c r="E6" s="979"/>
      <c r="F6" s="979"/>
      <c r="G6" s="983"/>
      <c r="H6" s="983"/>
      <c r="I6" s="983"/>
      <c r="J6" s="983"/>
      <c r="K6" s="983"/>
    </row>
    <row r="7" spans="1:11" ht="15.75" x14ac:dyDescent="0.25">
      <c r="A7" s="987" t="s">
        <v>586</v>
      </c>
      <c r="B7" s="988"/>
      <c r="C7" s="988"/>
      <c r="D7" s="988"/>
      <c r="E7" s="988"/>
      <c r="F7" s="988"/>
      <c r="G7" s="988"/>
      <c r="H7" s="988"/>
      <c r="I7" s="988"/>
      <c r="J7" s="988"/>
      <c r="K7" s="989"/>
    </row>
    <row r="8" spans="1:11" ht="38.25" customHeight="1" x14ac:dyDescent="0.25">
      <c r="A8" s="990" t="s">
        <v>594</v>
      </c>
      <c r="B8" s="991"/>
      <c r="C8" s="991"/>
      <c r="D8" s="991"/>
      <c r="E8" s="991"/>
      <c r="F8" s="991"/>
      <c r="G8" s="991"/>
      <c r="H8" s="991"/>
      <c r="I8" s="991"/>
      <c r="J8" s="991"/>
      <c r="K8" s="992"/>
    </row>
    <row r="9" spans="1:11" ht="15.75" x14ac:dyDescent="0.25">
      <c r="A9" s="987" t="s">
        <v>587</v>
      </c>
      <c r="B9" s="988"/>
      <c r="C9" s="988"/>
      <c r="D9" s="988"/>
      <c r="E9" s="988"/>
      <c r="F9" s="988"/>
      <c r="G9" s="988"/>
      <c r="H9" s="988"/>
      <c r="I9" s="988"/>
      <c r="J9" s="988"/>
      <c r="K9" s="989"/>
    </row>
    <row r="10" spans="1:11" x14ac:dyDescent="0.25">
      <c r="A10" s="993" t="s">
        <v>593</v>
      </c>
      <c r="B10" s="994"/>
      <c r="C10" s="994"/>
      <c r="D10" s="994"/>
      <c r="E10" s="994"/>
      <c r="F10" s="994"/>
      <c r="G10" s="994"/>
      <c r="H10" s="994"/>
      <c r="I10" s="994"/>
      <c r="J10" s="994"/>
      <c r="K10" s="995"/>
    </row>
    <row r="11" spans="1:11" x14ac:dyDescent="0.25">
      <c r="A11" s="993" t="s">
        <v>596</v>
      </c>
      <c r="B11" s="994"/>
      <c r="C11" s="994"/>
      <c r="D11" s="994"/>
      <c r="E11" s="994"/>
      <c r="F11" s="994"/>
      <c r="G11" s="994"/>
      <c r="H11" s="994"/>
      <c r="I11" s="994"/>
      <c r="J11" s="994"/>
      <c r="K11" s="995"/>
    </row>
    <row r="12" spans="1:11" x14ac:dyDescent="0.25">
      <c r="A12" s="984"/>
      <c r="B12" s="985"/>
      <c r="C12" s="985"/>
      <c r="D12" s="985"/>
      <c r="E12" s="985"/>
      <c r="F12" s="985"/>
      <c r="G12" s="985"/>
      <c r="H12" s="985"/>
      <c r="I12" s="985"/>
      <c r="J12" s="985"/>
      <c r="K12" s="986"/>
    </row>
    <row r="13" spans="1:11" x14ac:dyDescent="0.25">
      <c r="A13" s="984"/>
      <c r="B13" s="985"/>
      <c r="C13" s="985"/>
      <c r="D13" s="985"/>
      <c r="E13" s="985"/>
      <c r="F13" s="985"/>
      <c r="G13" s="985"/>
      <c r="H13" s="985"/>
      <c r="I13" s="985"/>
      <c r="J13" s="985"/>
      <c r="K13" s="986"/>
    </row>
    <row r="14" spans="1:11" x14ac:dyDescent="0.25">
      <c r="A14" s="984"/>
      <c r="B14" s="985"/>
      <c r="C14" s="985"/>
      <c r="D14" s="985"/>
      <c r="E14" s="985"/>
      <c r="F14" s="985"/>
      <c r="G14" s="985"/>
      <c r="H14" s="985"/>
      <c r="I14" s="985"/>
      <c r="J14" s="985"/>
      <c r="K14" s="986"/>
    </row>
    <row r="15" spans="1:11" x14ac:dyDescent="0.25">
      <c r="A15" s="984"/>
      <c r="B15" s="985"/>
      <c r="C15" s="985"/>
      <c r="D15" s="985"/>
      <c r="E15" s="985"/>
      <c r="F15" s="985"/>
      <c r="G15" s="985"/>
      <c r="H15" s="985"/>
      <c r="I15" s="985"/>
      <c r="J15" s="985"/>
      <c r="K15" s="986"/>
    </row>
    <row r="16" spans="1:11" x14ac:dyDescent="0.25">
      <c r="A16" s="984"/>
      <c r="B16" s="985"/>
      <c r="C16" s="985"/>
      <c r="D16" s="985"/>
      <c r="E16" s="985"/>
      <c r="F16" s="985"/>
      <c r="G16" s="985"/>
      <c r="H16" s="985"/>
      <c r="I16" s="985"/>
      <c r="J16" s="985"/>
      <c r="K16" s="986"/>
    </row>
    <row r="17" spans="1:11" x14ac:dyDescent="0.25">
      <c r="A17" s="984"/>
      <c r="B17" s="985"/>
      <c r="C17" s="985"/>
      <c r="D17" s="985"/>
      <c r="E17" s="985"/>
      <c r="F17" s="985"/>
      <c r="G17" s="985"/>
      <c r="H17" s="985"/>
      <c r="I17" s="985"/>
      <c r="J17" s="985"/>
      <c r="K17" s="986"/>
    </row>
    <row r="18" spans="1:11" x14ac:dyDescent="0.25">
      <c r="A18" s="984"/>
      <c r="B18" s="985"/>
      <c r="C18" s="985"/>
      <c r="D18" s="985"/>
      <c r="E18" s="985"/>
      <c r="F18" s="985"/>
      <c r="G18" s="985"/>
      <c r="H18" s="985"/>
      <c r="I18" s="985"/>
      <c r="J18" s="985"/>
      <c r="K18" s="986"/>
    </row>
    <row r="19" spans="1:11" x14ac:dyDescent="0.25">
      <c r="A19" s="984"/>
      <c r="B19" s="985"/>
      <c r="C19" s="985"/>
      <c r="D19" s="985"/>
      <c r="E19" s="985"/>
      <c r="F19" s="985"/>
      <c r="G19" s="985"/>
      <c r="H19" s="985"/>
      <c r="I19" s="985"/>
      <c r="J19" s="985"/>
      <c r="K19" s="986"/>
    </row>
    <row r="20" spans="1:11" x14ac:dyDescent="0.25">
      <c r="A20" s="984"/>
      <c r="B20" s="985"/>
      <c r="C20" s="985"/>
      <c r="D20" s="985"/>
      <c r="E20" s="985"/>
      <c r="F20" s="985"/>
      <c r="G20" s="985"/>
      <c r="H20" s="985"/>
      <c r="I20" s="985"/>
      <c r="J20" s="985"/>
      <c r="K20" s="986"/>
    </row>
    <row r="21" spans="1:11" x14ac:dyDescent="0.25">
      <c r="A21" s="999"/>
      <c r="B21" s="1000"/>
      <c r="C21" s="1000"/>
      <c r="D21" s="1000"/>
      <c r="E21" s="1000"/>
      <c r="F21" s="1000"/>
      <c r="G21" s="1000"/>
      <c r="H21" s="1000"/>
      <c r="I21" s="1000"/>
      <c r="J21" s="1000"/>
      <c r="K21" s="1001"/>
    </row>
    <row r="22" spans="1:11" ht="15.75" x14ac:dyDescent="0.25">
      <c r="A22" s="1002" t="s">
        <v>588</v>
      </c>
      <c r="B22" s="1003"/>
      <c r="C22" s="1003"/>
      <c r="D22" s="1003"/>
      <c r="E22" s="1003"/>
      <c r="F22" s="1003"/>
      <c r="G22" s="1003"/>
      <c r="H22" s="1003"/>
      <c r="I22" s="1003"/>
      <c r="J22" s="1003"/>
      <c r="K22" s="1004"/>
    </row>
    <row r="23" spans="1:11" x14ac:dyDescent="0.25">
      <c r="A23" s="1005"/>
      <c r="B23" s="1006"/>
      <c r="C23" s="1006"/>
      <c r="D23" s="1006"/>
      <c r="E23" s="1006"/>
      <c r="F23" s="1006"/>
      <c r="G23" s="1006"/>
      <c r="H23" s="1006"/>
      <c r="I23" s="1006"/>
      <c r="J23" s="1006"/>
      <c r="K23" s="1007"/>
    </row>
    <row r="24" spans="1:11" ht="15.75" x14ac:dyDescent="0.25">
      <c r="A24" s="1008" t="s">
        <v>589</v>
      </c>
      <c r="B24" s="1009"/>
      <c r="C24" s="1009"/>
      <c r="D24" s="1009"/>
      <c r="E24" s="1009"/>
      <c r="F24" s="1009"/>
      <c r="G24" s="1009"/>
      <c r="H24" s="1009"/>
      <c r="I24" s="1009"/>
      <c r="J24" s="1009"/>
      <c r="K24" s="1010"/>
    </row>
    <row r="25" spans="1:11" ht="35.25" customHeight="1" x14ac:dyDescent="0.25">
      <c r="A25" s="996" t="s">
        <v>590</v>
      </c>
      <c r="B25" s="997"/>
      <c r="C25" s="997"/>
      <c r="D25" s="997"/>
      <c r="E25" s="997"/>
      <c r="F25" s="997"/>
      <c r="G25" s="997"/>
      <c r="H25" s="997"/>
      <c r="I25" s="997"/>
      <c r="J25" s="997"/>
      <c r="K25" s="998"/>
    </row>
  </sheetData>
  <sheetProtection sheet="1" objects="1" scenarios="1"/>
  <mergeCells count="34">
    <mergeCell ref="A25:K25"/>
    <mergeCell ref="A19:K19"/>
    <mergeCell ref="A20:K20"/>
    <mergeCell ref="A21:K21"/>
    <mergeCell ref="A22:K22"/>
    <mergeCell ref="A23:K23"/>
    <mergeCell ref="A24:K24"/>
    <mergeCell ref="A18:K18"/>
    <mergeCell ref="A7:K7"/>
    <mergeCell ref="A8:K8"/>
    <mergeCell ref="A9:K9"/>
    <mergeCell ref="A10:K10"/>
    <mergeCell ref="A11:K11"/>
    <mergeCell ref="A12:K12"/>
    <mergeCell ref="A13:K13"/>
    <mergeCell ref="A14:K14"/>
    <mergeCell ref="A15:K15"/>
    <mergeCell ref="A16:K16"/>
    <mergeCell ref="A17:K17"/>
    <mergeCell ref="A5:B5"/>
    <mergeCell ref="C5:F5"/>
    <mergeCell ref="G5:K5"/>
    <mergeCell ref="A6:B6"/>
    <mergeCell ref="C6:F6"/>
    <mergeCell ref="G6:K6"/>
    <mergeCell ref="A4:B4"/>
    <mergeCell ref="C4:F4"/>
    <mergeCell ref="G4:H4"/>
    <mergeCell ref="I4:K4"/>
    <mergeCell ref="A2:K2"/>
    <mergeCell ref="A3:B3"/>
    <mergeCell ref="C3:F3"/>
    <mergeCell ref="G3:H3"/>
    <mergeCell ref="I3:K3"/>
  </mergeCells>
  <hyperlinks>
    <hyperlink ref="C5" r:id="rId1" xr:uid="{10EAD3B2-563B-41A5-B31E-FC2F36AF4D9D}"/>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6F0B5-2202-4DBF-984C-C01F13C3E348}">
  <sheetPr codeName="Sheet7">
    <tabColor rgb="FFFFFF00"/>
  </sheetPr>
  <dimension ref="A1:W103"/>
  <sheetViews>
    <sheetView workbookViewId="0">
      <selection activeCell="F8" sqref="F8"/>
    </sheetView>
  </sheetViews>
  <sheetFormatPr defaultColWidth="9.140625" defaultRowHeight="15.75" x14ac:dyDescent="0.25"/>
  <cols>
    <col min="1" max="1" width="1.7109375" style="436" customWidth="1"/>
    <col min="2" max="2" width="6.7109375" style="436" customWidth="1"/>
    <col min="3" max="3" width="1.7109375" style="436" customWidth="1"/>
    <col min="4" max="4" width="63.85546875" style="436" customWidth="1"/>
    <col min="5" max="5" width="21" style="436" customWidth="1"/>
    <col min="6" max="6" width="18.28515625" style="436" customWidth="1"/>
    <col min="7" max="7" width="13.28515625" customWidth="1"/>
    <col min="8" max="8" width="11.42578125" customWidth="1"/>
    <col min="9" max="9" width="55.140625" style="436" customWidth="1"/>
    <col min="10" max="10" width="12" style="436" customWidth="1"/>
    <col min="11" max="11" width="16.42578125" style="436" customWidth="1"/>
    <col min="12" max="12" width="12.85546875" style="436" customWidth="1"/>
    <col min="13" max="14" width="14.5703125" style="436" customWidth="1"/>
    <col min="15" max="16" width="9.140625" style="436"/>
    <col min="17" max="17" width="30.7109375" style="436" customWidth="1"/>
    <col min="18" max="19" width="9.140625" style="436"/>
    <col min="20" max="21" width="16" style="436" customWidth="1"/>
    <col min="22" max="16384" width="9.140625" style="436"/>
  </cols>
  <sheetData>
    <row r="1" spans="1:23" ht="16.5" thickBot="1" x14ac:dyDescent="0.3">
      <c r="G1" s="436"/>
      <c r="H1" s="436"/>
      <c r="M1" s="903" t="s">
        <v>348</v>
      </c>
      <c r="N1" s="379"/>
    </row>
    <row r="2" spans="1:23" x14ac:dyDescent="0.25">
      <c r="A2"/>
      <c r="B2"/>
      <c r="C2"/>
      <c r="D2" s="614" t="s">
        <v>688</v>
      </c>
      <c r="E2" s="614"/>
      <c r="F2" s="614"/>
      <c r="G2" s="614"/>
      <c r="H2" s="614"/>
      <c r="I2"/>
      <c r="J2"/>
      <c r="K2"/>
      <c r="L2"/>
      <c r="M2" s="904" t="s">
        <v>345</v>
      </c>
      <c r="N2" s="615"/>
      <c r="O2"/>
      <c r="P2"/>
      <c r="Q2"/>
      <c r="R2"/>
      <c r="S2"/>
      <c r="T2"/>
      <c r="U2"/>
      <c r="V2"/>
      <c r="W2"/>
    </row>
    <row r="3" spans="1:23" customFormat="1" x14ac:dyDescent="0.25">
      <c r="D3" s="809" t="s">
        <v>689</v>
      </c>
      <c r="E3" s="809" t="s">
        <v>161</v>
      </c>
      <c r="F3" s="809" t="s">
        <v>690</v>
      </c>
      <c r="H3" s="108"/>
      <c r="I3" s="108"/>
      <c r="J3" s="108"/>
      <c r="K3" s="108"/>
      <c r="L3" s="436"/>
      <c r="M3" s="436"/>
      <c r="N3" s="436"/>
    </row>
    <row r="4" spans="1:23" customFormat="1" x14ac:dyDescent="0.25">
      <c r="D4" s="886" t="s">
        <v>807</v>
      </c>
      <c r="E4" s="891" t="s">
        <v>811</v>
      </c>
      <c r="F4" s="892">
        <v>150</v>
      </c>
      <c r="G4" s="619" t="s">
        <v>6</v>
      </c>
      <c r="H4" s="213"/>
      <c r="I4" s="108"/>
      <c r="J4" s="379"/>
      <c r="K4" s="108"/>
      <c r="L4" s="436"/>
      <c r="M4" s="436"/>
      <c r="N4" s="436"/>
    </row>
    <row r="5" spans="1:23" x14ac:dyDescent="0.25">
      <c r="D5" s="436" t="s">
        <v>808</v>
      </c>
      <c r="E5" s="940" t="s">
        <v>809</v>
      </c>
      <c r="F5" s="892">
        <f>81.973*2000/150</f>
        <v>1092.9733333333334</v>
      </c>
    </row>
    <row r="6" spans="1:23" customFormat="1" x14ac:dyDescent="0.25">
      <c r="D6" s="886" t="s">
        <v>729</v>
      </c>
      <c r="E6" s="891" t="s">
        <v>810</v>
      </c>
      <c r="F6" s="942">
        <v>1.25</v>
      </c>
      <c r="G6" s="619"/>
      <c r="H6" s="213"/>
      <c r="I6" s="941"/>
      <c r="J6" s="379"/>
      <c r="K6" s="108"/>
      <c r="L6" s="436"/>
      <c r="M6" s="436"/>
      <c r="N6" s="436"/>
    </row>
    <row r="7" spans="1:23" customFormat="1" x14ac:dyDescent="0.25">
      <c r="D7" s="886" t="str">
        <f>IF(F8="No","Digestate volume returned from digester","Digestate liquid volume returned from digester")</f>
        <v>Digestate liquid volume returned from digester</v>
      </c>
      <c r="E7" s="891" t="s">
        <v>832</v>
      </c>
      <c r="F7" s="976">
        <v>0.92</v>
      </c>
      <c r="G7" s="802"/>
      <c r="H7" s="213"/>
      <c r="I7" s="108"/>
      <c r="J7" s="379"/>
      <c r="K7" s="108"/>
      <c r="L7" s="436"/>
      <c r="M7" s="436"/>
      <c r="N7" s="436"/>
    </row>
    <row r="8" spans="1:23" customFormat="1" ht="30" x14ac:dyDescent="0.25">
      <c r="D8" s="887" t="s">
        <v>831</v>
      </c>
      <c r="E8" s="891"/>
      <c r="F8" s="977" t="s">
        <v>9</v>
      </c>
      <c r="G8" s="802"/>
      <c r="H8" s="213"/>
      <c r="I8" s="108"/>
      <c r="J8" s="379"/>
      <c r="K8" s="108"/>
      <c r="L8" s="436"/>
      <c r="M8" s="436"/>
      <c r="N8" s="436"/>
    </row>
    <row r="9" spans="1:23" customFormat="1" x14ac:dyDescent="0.25">
      <c r="D9" s="886" t="s">
        <v>722</v>
      </c>
      <c r="E9" s="891"/>
      <c r="F9" s="893" t="s">
        <v>9</v>
      </c>
      <c r="G9" s="802"/>
      <c r="H9" s="213"/>
      <c r="I9" s="108"/>
      <c r="J9" s="379"/>
      <c r="K9" s="108"/>
      <c r="L9" s="436"/>
      <c r="M9" s="436"/>
      <c r="N9" s="436"/>
    </row>
    <row r="10" spans="1:23" customFormat="1" x14ac:dyDescent="0.25">
      <c r="D10" s="886" t="s">
        <v>732</v>
      </c>
      <c r="E10" s="894" t="s">
        <v>216</v>
      </c>
      <c r="F10" s="895">
        <v>20000</v>
      </c>
      <c r="G10" s="9" t="s">
        <v>6</v>
      </c>
      <c r="H10" s="213"/>
      <c r="I10" s="108"/>
      <c r="J10" s="379"/>
      <c r="K10" s="108"/>
      <c r="L10" s="436"/>
      <c r="M10" s="436"/>
      <c r="N10" s="436"/>
    </row>
    <row r="11" spans="1:23" x14ac:dyDescent="0.25">
      <c r="A11"/>
      <c r="D11" s="890" t="s">
        <v>738</v>
      </c>
      <c r="E11" s="891" t="s">
        <v>0</v>
      </c>
      <c r="F11" s="895">
        <v>10000</v>
      </c>
      <c r="G11" s="802" t="s">
        <v>6</v>
      </c>
      <c r="H11" s="213"/>
    </row>
    <row r="12" spans="1:23" x14ac:dyDescent="0.25">
      <c r="A12"/>
      <c r="D12" s="945"/>
      <c r="E12" s="946"/>
      <c r="F12" s="948"/>
      <c r="G12" s="947"/>
      <c r="H12" s="213"/>
    </row>
    <row r="13" spans="1:23" x14ac:dyDescent="0.25">
      <c r="A13"/>
      <c r="D13" s="888" t="s">
        <v>604</v>
      </c>
      <c r="E13" s="896" t="s">
        <v>660</v>
      </c>
      <c r="F13" s="892">
        <v>1500</v>
      </c>
      <c r="G13" s="9" t="s">
        <v>6</v>
      </c>
      <c r="I13" s="813"/>
    </row>
    <row r="14" spans="1:23" ht="16.5" thickBot="1" x14ac:dyDescent="0.3">
      <c r="A14"/>
      <c r="D14" s="888" t="s">
        <v>695</v>
      </c>
      <c r="E14" s="897" t="s">
        <v>696</v>
      </c>
      <c r="F14" s="898">
        <v>1</v>
      </c>
      <c r="G14" s="9" t="s">
        <v>6</v>
      </c>
    </row>
    <row r="15" spans="1:23" x14ac:dyDescent="0.25">
      <c r="A15"/>
      <c r="D15" s="889" t="s">
        <v>739</v>
      </c>
      <c r="E15" s="899"/>
      <c r="F15" s="900" t="s">
        <v>83</v>
      </c>
    </row>
    <row r="16" spans="1:23" x14ac:dyDescent="0.25">
      <c r="A16"/>
      <c r="D16" s="886" t="s">
        <v>759</v>
      </c>
      <c r="E16" s="891" t="s">
        <v>436</v>
      </c>
      <c r="F16" s="892">
        <v>500</v>
      </c>
      <c r="G16" s="619" t="s">
        <v>6</v>
      </c>
    </row>
    <row r="17" spans="1:14" x14ac:dyDescent="0.25">
      <c r="A17"/>
      <c r="D17" s="886" t="s">
        <v>731</v>
      </c>
      <c r="E17" s="891" t="s">
        <v>211</v>
      </c>
      <c r="F17" s="901">
        <v>80</v>
      </c>
      <c r="G17" s="802"/>
    </row>
    <row r="18" spans="1:14" x14ac:dyDescent="0.25">
      <c r="A18"/>
    </row>
    <row r="19" spans="1:14" ht="16.5" thickBot="1" x14ac:dyDescent="0.3">
      <c r="A19"/>
      <c r="D19"/>
      <c r="E19"/>
      <c r="F19"/>
      <c r="H19" s="857"/>
      <c r="I19" s="858"/>
      <c r="J19" s="858"/>
      <c r="K19" s="858"/>
      <c r="L19" s="858"/>
      <c r="M19" s="859"/>
      <c r="N19" s="855"/>
    </row>
    <row r="20" spans="1:14" x14ac:dyDescent="0.25">
      <c r="A20"/>
      <c r="D20" s="810" t="s">
        <v>691</v>
      </c>
      <c r="E20" s="614"/>
      <c r="F20" s="614"/>
      <c r="G20" s="614"/>
      <c r="H20" s="860"/>
      <c r="I20" s="855"/>
      <c r="J20" s="855"/>
      <c r="K20" s="855"/>
      <c r="L20" s="855"/>
      <c r="M20" s="861"/>
      <c r="N20" s="855"/>
    </row>
    <row r="21" spans="1:14" x14ac:dyDescent="0.25">
      <c r="A21"/>
      <c r="H21" s="860"/>
      <c r="I21" s="855"/>
      <c r="J21" s="855"/>
      <c r="K21" s="855"/>
      <c r="L21" s="855"/>
      <c r="M21" s="861"/>
      <c r="N21" s="855"/>
    </row>
    <row r="22" spans="1:14" x14ac:dyDescent="0.25">
      <c r="A22"/>
      <c r="D22" s="566" t="s">
        <v>758</v>
      </c>
      <c r="E22"/>
      <c r="F22" s="388">
        <f>'Financial Inputs'!G37</f>
        <v>10425</v>
      </c>
      <c r="H22" s="860"/>
      <c r="I22" s="855"/>
      <c r="J22" s="855"/>
      <c r="K22" s="855"/>
      <c r="L22" s="855"/>
      <c r="M22" s="861"/>
      <c r="N22" s="855"/>
    </row>
    <row r="23" spans="1:14" x14ac:dyDescent="0.25">
      <c r="A23"/>
      <c r="D23" s="390"/>
      <c r="E23"/>
      <c r="F23" s="902"/>
      <c r="H23" s="860"/>
      <c r="I23" s="855"/>
      <c r="J23" s="855"/>
      <c r="K23" s="855"/>
      <c r="L23" s="855"/>
      <c r="M23" s="861"/>
      <c r="N23" s="855"/>
    </row>
    <row r="24" spans="1:14" x14ac:dyDescent="0.25">
      <c r="A24"/>
      <c r="D24" s="390"/>
      <c r="E24"/>
      <c r="F24" s="902"/>
      <c r="H24" s="860"/>
      <c r="I24" s="855"/>
      <c r="J24" s="855"/>
      <c r="K24" s="855"/>
      <c r="L24" s="855"/>
      <c r="M24" s="861"/>
      <c r="N24" s="855"/>
    </row>
    <row r="25" spans="1:14" x14ac:dyDescent="0.25">
      <c r="A25"/>
      <c r="D25" s="390" t="str">
        <f>'Financial Inputs'!T129</f>
        <v>Net present value @ 10.0% (over defined useful life)</v>
      </c>
      <c r="E25"/>
      <c r="F25" s="388">
        <f>'Financial Inputs'!X129</f>
        <v>652258.26619721949</v>
      </c>
      <c r="H25" s="860"/>
      <c r="I25" s="855"/>
      <c r="J25" s="855"/>
      <c r="K25" s="855"/>
      <c r="L25" s="855"/>
      <c r="M25" s="861"/>
      <c r="N25" s="855"/>
    </row>
    <row r="26" spans="1:14" ht="17.25" x14ac:dyDescent="0.25">
      <c r="A26"/>
      <c r="D26" s="390" t="s">
        <v>786</v>
      </c>
      <c r="E26"/>
      <c r="F26" s="388">
        <f>'Detailed Cash Flow'!D54</f>
        <v>76614.011202316717</v>
      </c>
      <c r="H26" s="860"/>
      <c r="I26" s="855"/>
      <c r="J26" s="855"/>
      <c r="K26" s="855"/>
      <c r="L26" s="855"/>
      <c r="M26" s="861"/>
      <c r="N26" s="855"/>
    </row>
    <row r="27" spans="1:14" x14ac:dyDescent="0.25">
      <c r="D27"/>
      <c r="E27"/>
      <c r="F27"/>
      <c r="H27" s="860"/>
      <c r="I27" s="855"/>
      <c r="J27" s="855"/>
      <c r="K27" s="855"/>
      <c r="L27" s="855"/>
      <c r="M27" s="861"/>
      <c r="N27" s="855"/>
    </row>
    <row r="28" spans="1:14" ht="17.25" x14ac:dyDescent="0.25">
      <c r="A28"/>
      <c r="D28" s="404" t="s">
        <v>692</v>
      </c>
      <c r="E28" s="404" t="s">
        <v>783</v>
      </c>
      <c r="F28" s="404" t="s">
        <v>784</v>
      </c>
      <c r="G28" s="856" t="s">
        <v>6</v>
      </c>
      <c r="H28" s="860"/>
      <c r="I28" s="855"/>
      <c r="J28" s="855"/>
      <c r="K28" s="855"/>
      <c r="L28" s="855"/>
      <c r="M28" s="861"/>
      <c r="N28" s="855"/>
    </row>
    <row r="29" spans="1:14" x14ac:dyDescent="0.25">
      <c r="A29"/>
      <c r="D29" t="str">
        <f>'Detailed Cash Flow'!B69</f>
        <v>Payment from digester operator</v>
      </c>
      <c r="E29" s="388">
        <f>'Detailed Cash Flow'!E69</f>
        <v>65388.118206266859</v>
      </c>
      <c r="F29" s="388">
        <f>'Detailed Cash Flow'!C69</f>
        <v>636817.65240478865</v>
      </c>
      <c r="H29" s="860"/>
      <c r="I29" s="855"/>
      <c r="J29" s="855"/>
      <c r="K29" s="855"/>
      <c r="L29" s="855"/>
      <c r="M29" s="861"/>
      <c r="N29" s="855"/>
    </row>
    <row r="30" spans="1:14" x14ac:dyDescent="0.25">
      <c r="A30"/>
      <c r="D30" s="566" t="s">
        <v>717</v>
      </c>
      <c r="E30" s="388">
        <f>'Detailed Cash Flow'!E70</f>
        <v>37645.397872239315</v>
      </c>
      <c r="F30" s="388">
        <f>'Detailed Cash Flow'!C70</f>
        <v>366630.12416445487</v>
      </c>
      <c r="H30" s="860"/>
      <c r="I30" s="855"/>
      <c r="J30" s="855"/>
      <c r="K30" s="855"/>
      <c r="L30" s="855"/>
      <c r="M30" s="861"/>
      <c r="N30" s="855"/>
    </row>
    <row r="31" spans="1:14" x14ac:dyDescent="0.25">
      <c r="A31"/>
      <c r="D31" t="str">
        <f>'Detailed Cash Flow'!B71</f>
        <v>Bedding value</v>
      </c>
      <c r="E31" s="388">
        <f>'Detailed Cash Flow'!E71</f>
        <v>20000.000000000015</v>
      </c>
      <c r="F31" s="388">
        <f>'Detailed Cash Flow'!C71</f>
        <v>194780.84700218705</v>
      </c>
      <c r="H31" s="860"/>
      <c r="I31" s="855"/>
      <c r="J31" s="855"/>
      <c r="K31" s="855"/>
      <c r="L31" s="855"/>
      <c r="M31" s="861"/>
      <c r="N31" s="855"/>
    </row>
    <row r="32" spans="1:14" x14ac:dyDescent="0.25">
      <c r="A32"/>
      <c r="D32" t="str">
        <f>'Detailed Cash Flow'!B73</f>
        <v>Total cash inflows</v>
      </c>
      <c r="E32" s="388">
        <f>'Detailed Cash Flow'!E73</f>
        <v>123033.51607850619</v>
      </c>
      <c r="F32" s="388">
        <f>'Detailed Cash Flow'!C73</f>
        <v>1198228.6235714306</v>
      </c>
      <c r="H32" s="860"/>
      <c r="I32" s="855"/>
      <c r="J32" s="855"/>
      <c r="K32" s="855"/>
      <c r="L32" s="855"/>
      <c r="M32" s="861"/>
      <c r="N32" s="855"/>
    </row>
    <row r="33" spans="1:19" x14ac:dyDescent="0.25">
      <c r="A33"/>
      <c r="D33"/>
      <c r="E33"/>
      <c r="F33"/>
      <c r="H33" s="860"/>
      <c r="I33" s="855"/>
      <c r="J33" s="855"/>
      <c r="K33" s="855"/>
      <c r="L33" s="855"/>
      <c r="M33" s="861"/>
      <c r="N33" s="855"/>
    </row>
    <row r="34" spans="1:19" x14ac:dyDescent="0.25">
      <c r="D34" s="404" t="s">
        <v>693</v>
      </c>
      <c r="E34"/>
      <c r="F34"/>
      <c r="H34" s="860"/>
      <c r="I34" s="855"/>
      <c r="J34" s="855"/>
      <c r="K34" s="855"/>
      <c r="L34" s="855"/>
      <c r="M34" s="861"/>
      <c r="N34" s="855"/>
    </row>
    <row r="35" spans="1:19" x14ac:dyDescent="0.25">
      <c r="A35"/>
      <c r="D35" t="str">
        <f>'Detailed Cash Flow'!B75</f>
        <v>Initial equity</v>
      </c>
      <c r="E35" s="388">
        <f>'Detailed Cash Flow'!F75</f>
        <v>813.73503832345727</v>
      </c>
      <c r="F35" s="388">
        <f>'Detailed Cash Flow'!D75</f>
        <v>7925</v>
      </c>
      <c r="H35" s="860"/>
      <c r="I35" s="855"/>
      <c r="J35" s="855"/>
      <c r="K35" s="855"/>
      <c r="L35" s="855"/>
      <c r="M35" s="861"/>
      <c r="N35" s="855"/>
    </row>
    <row r="36" spans="1:19" x14ac:dyDescent="0.25">
      <c r="A36"/>
      <c r="D36" t="str">
        <f>'Detailed Cash Flow'!B76</f>
        <v>Interest</v>
      </c>
      <c r="E36" s="388">
        <f>'Detailed Cash Flow'!F76</f>
        <v>88.869490067241642</v>
      </c>
      <c r="F36" s="388">
        <f>'Detailed Cash Flow'!D76</f>
        <v>865.50372739748798</v>
      </c>
      <c r="H36" s="860"/>
      <c r="I36" s="855"/>
      <c r="J36" s="855"/>
      <c r="K36" s="855"/>
      <c r="L36" s="855"/>
      <c r="M36" s="861"/>
      <c r="N36" s="855"/>
    </row>
    <row r="37" spans="1:19" x14ac:dyDescent="0.25">
      <c r="A37"/>
      <c r="D37" t="str">
        <f>'Detailed Cash Flow'!B77</f>
        <v>Principal</v>
      </c>
      <c r="E37" s="388">
        <f>'Detailed Cash Flow'!F77</f>
        <v>148.52807117470098</v>
      </c>
      <c r="F37" s="388">
        <f>'Detailed Cash Flow'!D77</f>
        <v>1446.5211753504677</v>
      </c>
      <c r="H37" s="860"/>
      <c r="I37" s="855"/>
      <c r="J37" s="855"/>
      <c r="K37" s="855"/>
      <c r="L37" s="855"/>
      <c r="M37" s="861"/>
      <c r="N37" s="855"/>
    </row>
    <row r="38" spans="1:19" x14ac:dyDescent="0.25">
      <c r="D38" t="str">
        <f>'Detailed Cash Flow'!B74</f>
        <v>O&amp;M</v>
      </c>
      <c r="E38" s="388">
        <f>'Detailed Cash Flow'!F74</f>
        <v>90.909090909090978</v>
      </c>
      <c r="F38" s="388">
        <f>'Detailed Cash Flow'!D74</f>
        <v>885.36748637357744</v>
      </c>
      <c r="H38" s="860"/>
      <c r="I38" s="855"/>
      <c r="J38" s="855"/>
      <c r="K38" s="855"/>
      <c r="L38" s="855"/>
      <c r="M38" s="861"/>
      <c r="N38" s="855"/>
    </row>
    <row r="39" spans="1:19" x14ac:dyDescent="0.25">
      <c r="D39" t="str">
        <f>'Detailed Cash Flow'!B78</f>
        <v>Taxes</v>
      </c>
      <c r="E39" s="388">
        <f>'Detailed Cash Flow'!F78</f>
        <v>48220.566405083424</v>
      </c>
      <c r="F39" s="388">
        <f>'Detailed Cash Flow'!D78</f>
        <v>469622.13836536737</v>
      </c>
      <c r="H39" s="860"/>
      <c r="I39" s="855"/>
      <c r="J39" s="855"/>
      <c r="K39" s="855"/>
      <c r="L39" s="855"/>
      <c r="M39" s="861"/>
      <c r="N39" s="855"/>
    </row>
    <row r="40" spans="1:19" x14ac:dyDescent="0.25">
      <c r="D40" t="str">
        <f>'Detailed Cash Flow'!B79</f>
        <v>Total cash outflows</v>
      </c>
      <c r="E40" s="388">
        <f>'Detailed Cash Flow'!F79</f>
        <v>49362.608095557916</v>
      </c>
      <c r="F40" s="388">
        <f>'Detailed Cash Flow'!D79</f>
        <v>480744.53075448889</v>
      </c>
      <c r="H40" s="860"/>
      <c r="I40" s="855"/>
      <c r="J40" s="855"/>
      <c r="K40" s="855"/>
      <c r="L40" s="855"/>
      <c r="M40" s="861"/>
      <c r="N40" s="855"/>
    </row>
    <row r="41" spans="1:19" x14ac:dyDescent="0.25">
      <c r="D41"/>
      <c r="E41"/>
      <c r="F41"/>
      <c r="H41" s="860"/>
      <c r="I41" s="855"/>
      <c r="J41" s="855"/>
      <c r="K41" s="855"/>
      <c r="L41" s="855"/>
      <c r="M41" s="861"/>
      <c r="N41" s="855"/>
    </row>
    <row r="42" spans="1:19" x14ac:dyDescent="0.25">
      <c r="D42" s="404" t="str">
        <f>'Detailed Cash Flow'!B80</f>
        <v>Net cash flow</v>
      </c>
      <c r="E42" s="388">
        <f>'Detailed Cash Flow'!F80</f>
        <v>76614.011202316717</v>
      </c>
      <c r="F42" s="388">
        <f>'Detailed Cash Flow'!D80</f>
        <v>652258.26619721949</v>
      </c>
      <c r="H42" s="860"/>
      <c r="I42" s="855"/>
      <c r="J42" s="855"/>
      <c r="K42" s="855"/>
      <c r="L42" s="855"/>
      <c r="M42" s="861"/>
      <c r="N42" s="855"/>
    </row>
    <row r="43" spans="1:19" x14ac:dyDescent="0.25">
      <c r="H43" s="860"/>
      <c r="I43" s="855"/>
      <c r="J43" s="855"/>
      <c r="K43" s="855"/>
      <c r="L43" s="855"/>
      <c r="M43" s="861"/>
      <c r="N43" s="855"/>
      <c r="Q43" s="443"/>
      <c r="R43" s="734"/>
      <c r="S43" s="443"/>
    </row>
    <row r="44" spans="1:19" ht="18" x14ac:dyDescent="0.25">
      <c r="D44" s="436" t="s">
        <v>787</v>
      </c>
      <c r="H44" s="860"/>
      <c r="I44" s="855"/>
      <c r="J44" s="855"/>
      <c r="K44" s="855"/>
      <c r="L44" s="855"/>
      <c r="M44" s="861"/>
      <c r="N44" s="855"/>
      <c r="Q44" s="443"/>
      <c r="R44" s="734"/>
      <c r="S44" s="443"/>
    </row>
    <row r="45" spans="1:19" x14ac:dyDescent="0.25">
      <c r="D45" s="436" t="str">
        <f>" annual equivalents.  The cash flows increase over the defined life at an inflation rate of "&amp;FIXED('Financial Inputs'!G11*100,1)&amp;"%/year"</f>
        <v xml:space="preserve"> annual equivalents.  The cash flows increase over the defined life at an inflation rate of 2.0%/year</v>
      </c>
      <c r="H45" s="860"/>
      <c r="I45" s="855"/>
      <c r="J45" s="855"/>
      <c r="K45" s="855"/>
      <c r="L45" s="855"/>
      <c r="M45" s="861"/>
      <c r="N45" s="855"/>
      <c r="Q45" s="443"/>
      <c r="R45" s="734"/>
      <c r="S45" s="443"/>
    </row>
    <row r="46" spans="1:19" x14ac:dyDescent="0.25">
      <c r="H46" s="860"/>
      <c r="I46" s="855"/>
      <c r="J46" s="855"/>
      <c r="K46" s="855"/>
      <c r="L46" s="855"/>
      <c r="M46" s="861"/>
      <c r="N46" s="855"/>
      <c r="Q46" s="443"/>
      <c r="R46" s="734"/>
      <c r="S46" s="443"/>
    </row>
    <row r="47" spans="1:19" x14ac:dyDescent="0.25">
      <c r="H47" s="860"/>
      <c r="I47" s="855"/>
      <c r="J47" s="855"/>
      <c r="K47" s="855"/>
      <c r="L47" s="855"/>
      <c r="M47" s="861"/>
      <c r="N47" s="855"/>
      <c r="Q47" s="443"/>
      <c r="R47" s="734"/>
      <c r="S47" s="443"/>
    </row>
    <row r="48" spans="1:19" x14ac:dyDescent="0.25">
      <c r="H48" s="862"/>
      <c r="I48" s="863"/>
      <c r="J48" s="863"/>
      <c r="K48" s="863"/>
      <c r="L48" s="863"/>
      <c r="M48" s="864"/>
      <c r="N48" s="855"/>
      <c r="Q48" s="443"/>
      <c r="R48" s="734"/>
      <c r="S48" s="443"/>
    </row>
    <row r="49" spans="2:19" x14ac:dyDescent="0.25">
      <c r="Q49" s="443"/>
      <c r="R49" s="734"/>
      <c r="S49" s="443"/>
    </row>
    <row r="50" spans="2:19" x14ac:dyDescent="0.25">
      <c r="Q50" s="443"/>
      <c r="R50" s="734"/>
      <c r="S50" s="443"/>
    </row>
    <row r="51" spans="2:19" x14ac:dyDescent="0.25">
      <c r="I51" s="917" t="str">
        <f>"Actual year 1 cash flows except that lumpy cash flows are converted to"&amp;D45</f>
        <v>Actual year 1 cash flows except that lumpy cash flows are converted to annual equivalents.  The cash flows increase over the defined life at an inflation rate of 2.0%/year</v>
      </c>
      <c r="Q51" s="443"/>
      <c r="R51" s="734"/>
      <c r="S51" s="443"/>
    </row>
    <row r="52" spans="2:19" x14ac:dyDescent="0.25">
      <c r="Q52" s="443"/>
      <c r="R52" s="734"/>
      <c r="S52" s="443"/>
    </row>
    <row r="53" spans="2:19" x14ac:dyDescent="0.25">
      <c r="Q53" s="443"/>
      <c r="R53" s="734"/>
      <c r="S53" s="443"/>
    </row>
    <row r="54" spans="2:19" x14ac:dyDescent="0.25">
      <c r="Q54" s="443"/>
      <c r="R54" s="734"/>
      <c r="S54" s="443"/>
    </row>
    <row r="55" spans="2:19" x14ac:dyDescent="0.25">
      <c r="Q55" s="443"/>
      <c r="R55" s="734"/>
      <c r="S55" s="443"/>
    </row>
    <row r="56" spans="2:19" x14ac:dyDescent="0.25">
      <c r="Q56" s="443"/>
      <c r="R56" s="734"/>
      <c r="S56" s="443"/>
    </row>
    <row r="57" spans="2:19" x14ac:dyDescent="0.25">
      <c r="Q57" s="443"/>
      <c r="R57" s="734"/>
      <c r="S57" s="443"/>
    </row>
    <row r="58" spans="2:19" x14ac:dyDescent="0.25">
      <c r="Q58" s="443"/>
      <c r="R58" s="734"/>
      <c r="S58" s="443"/>
    </row>
    <row r="59" spans="2:19" x14ac:dyDescent="0.25">
      <c r="Q59" s="443"/>
      <c r="R59" s="734"/>
      <c r="S59" s="443"/>
    </row>
    <row r="60" spans="2:19" x14ac:dyDescent="0.25">
      <c r="Q60" s="443"/>
      <c r="R60" s="734"/>
      <c r="S60" s="443"/>
    </row>
    <row r="61" spans="2:19" x14ac:dyDescent="0.25">
      <c r="Q61" s="443"/>
      <c r="R61" s="734"/>
      <c r="S61" s="443"/>
    </row>
    <row r="62" spans="2:19" x14ac:dyDescent="0.25">
      <c r="Q62" s="443"/>
      <c r="R62" s="734"/>
      <c r="S62" s="443"/>
    </row>
    <row r="63" spans="2:19" x14ac:dyDescent="0.25">
      <c r="B63"/>
      <c r="C63" s="1"/>
      <c r="I63" s="370"/>
      <c r="J63" s="370"/>
      <c r="K63" s="370"/>
      <c r="L63" s="370"/>
      <c r="M63" s="370"/>
      <c r="Q63" s="443"/>
      <c r="R63" s="734"/>
      <c r="S63" s="443"/>
    </row>
    <row r="64" spans="2:19" x14ac:dyDescent="0.25">
      <c r="B64"/>
      <c r="C64" s="1"/>
      <c r="I64" s="370"/>
      <c r="J64" s="370"/>
      <c r="K64" s="370"/>
      <c r="L64" s="370"/>
      <c r="M64" s="370"/>
      <c r="Q64" s="443"/>
      <c r="R64" s="734"/>
      <c r="S64" s="443"/>
    </row>
    <row r="65" spans="2:19" x14ac:dyDescent="0.25">
      <c r="B65"/>
      <c r="C65" s="1"/>
      <c r="I65" s="370"/>
      <c r="J65" s="370"/>
      <c r="K65" s="370"/>
      <c r="L65" s="370"/>
      <c r="M65" s="370"/>
      <c r="Q65" s="443"/>
      <c r="R65" s="734"/>
      <c r="S65" s="443"/>
    </row>
    <row r="66" spans="2:19" x14ac:dyDescent="0.25">
      <c r="B66"/>
      <c r="C66" s="1"/>
      <c r="I66" s="370"/>
      <c r="J66" s="370"/>
      <c r="K66" s="370"/>
      <c r="L66" s="370"/>
      <c r="M66" s="370"/>
      <c r="Q66" s="443"/>
      <c r="R66" s="734"/>
      <c r="S66" s="443"/>
    </row>
    <row r="67" spans="2:19" x14ac:dyDescent="0.25">
      <c r="B67"/>
      <c r="C67" s="1"/>
      <c r="I67" s="370"/>
      <c r="J67" s="370"/>
      <c r="K67" s="370"/>
      <c r="L67" s="370"/>
      <c r="M67" s="370"/>
      <c r="Q67" s="443"/>
      <c r="R67" s="734"/>
      <c r="S67" s="443"/>
    </row>
    <row r="68" spans="2:19" x14ac:dyDescent="0.25">
      <c r="B68"/>
      <c r="C68" s="1"/>
      <c r="I68" s="370"/>
      <c r="J68" s="370"/>
      <c r="K68" s="370"/>
      <c r="L68" s="370"/>
      <c r="M68" s="370"/>
      <c r="Q68" s="443"/>
      <c r="R68" s="734"/>
      <c r="S68" s="443"/>
    </row>
    <row r="69" spans="2:19" x14ac:dyDescent="0.25">
      <c r="B69"/>
      <c r="C69" s="1"/>
      <c r="D69" s="1"/>
      <c r="E69" s="1"/>
      <c r="F69" s="1"/>
      <c r="G69" s="1"/>
      <c r="H69" s="1"/>
      <c r="I69" s="370"/>
      <c r="J69" s="370"/>
      <c r="K69" s="370"/>
      <c r="L69" s="370"/>
      <c r="M69" s="370"/>
      <c r="Q69" s="443"/>
      <c r="R69" s="734"/>
      <c r="S69" s="443"/>
    </row>
    <row r="70" spans="2:19" x14ac:dyDescent="0.25">
      <c r="I70" s="370"/>
      <c r="J70" s="370"/>
      <c r="K70" s="370"/>
      <c r="L70" s="370"/>
      <c r="M70" s="370"/>
      <c r="Q70" s="443"/>
      <c r="R70" s="734"/>
      <c r="S70" s="443"/>
    </row>
    <row r="71" spans="2:19" x14ac:dyDescent="0.25">
      <c r="I71" s="370"/>
      <c r="J71" s="370"/>
      <c r="K71" s="370"/>
      <c r="L71" s="370"/>
      <c r="M71" s="370"/>
      <c r="Q71" s="443"/>
      <c r="R71" s="734"/>
      <c r="S71" s="443"/>
    </row>
    <row r="72" spans="2:19" x14ac:dyDescent="0.25">
      <c r="I72" s="370"/>
      <c r="J72" s="370"/>
      <c r="K72" s="370"/>
      <c r="L72" s="370"/>
      <c r="M72" s="370"/>
      <c r="Q72" s="443"/>
      <c r="R72" s="734"/>
      <c r="S72" s="443"/>
    </row>
    <row r="73" spans="2:19" x14ac:dyDescent="0.25">
      <c r="I73" s="370"/>
      <c r="J73" s="370"/>
      <c r="K73" s="370"/>
      <c r="L73" s="370"/>
      <c r="M73" s="370"/>
      <c r="Q73" s="443"/>
      <c r="R73" s="734"/>
      <c r="S73" s="443"/>
    </row>
    <row r="74" spans="2:19" x14ac:dyDescent="0.25">
      <c r="I74" s="370"/>
      <c r="J74" s="370"/>
      <c r="K74" s="370"/>
      <c r="L74" s="370"/>
      <c r="M74" s="370"/>
      <c r="Q74" s="443"/>
      <c r="R74" s="734"/>
      <c r="S74" s="443"/>
    </row>
    <row r="75" spans="2:19" x14ac:dyDescent="0.25">
      <c r="I75" s="370"/>
      <c r="J75" s="370"/>
      <c r="K75" s="370"/>
      <c r="L75" s="370"/>
      <c r="M75" s="370"/>
      <c r="Q75" s="443"/>
      <c r="R75" s="734"/>
      <c r="S75" s="443"/>
    </row>
    <row r="76" spans="2:19" x14ac:dyDescent="0.25">
      <c r="I76" s="370"/>
      <c r="J76" s="370"/>
      <c r="K76" s="370"/>
      <c r="L76" s="370"/>
      <c r="M76" s="370"/>
      <c r="Q76" s="443"/>
      <c r="R76" s="734"/>
      <c r="S76" s="443"/>
    </row>
    <row r="77" spans="2:19" x14ac:dyDescent="0.25">
      <c r="I77" s="370"/>
      <c r="J77" s="370"/>
      <c r="K77" s="370"/>
      <c r="L77" s="370"/>
      <c r="M77" s="370"/>
      <c r="Q77" s="443"/>
      <c r="R77" s="734"/>
      <c r="S77" s="443"/>
    </row>
    <row r="78" spans="2:19" x14ac:dyDescent="0.25">
      <c r="I78" s="370"/>
      <c r="J78" s="370"/>
      <c r="K78" s="370"/>
      <c r="L78" s="370"/>
      <c r="M78" s="370"/>
      <c r="Q78" s="443"/>
      <c r="R78" s="734"/>
      <c r="S78" s="443"/>
    </row>
    <row r="79" spans="2:19" x14ac:dyDescent="0.25">
      <c r="B79"/>
      <c r="I79" s="370"/>
      <c r="J79" s="370"/>
      <c r="K79" s="370"/>
      <c r="L79" s="370"/>
      <c r="M79" s="370"/>
      <c r="Q79" s="443"/>
      <c r="R79" s="734"/>
      <c r="S79" s="443"/>
    </row>
    <row r="80" spans="2:19" x14ac:dyDescent="0.25">
      <c r="I80" s="370"/>
      <c r="J80" s="370"/>
      <c r="K80" s="370"/>
      <c r="L80" s="370"/>
      <c r="M80" s="370"/>
    </row>
    <row r="81" spans="4:17" x14ac:dyDescent="0.25">
      <c r="D81" s="613" t="s">
        <v>307</v>
      </c>
      <c r="E81" s="370"/>
      <c r="F81" s="370"/>
      <c r="G81" s="108"/>
      <c r="H81" s="108"/>
      <c r="I81" s="370"/>
      <c r="J81" s="370"/>
      <c r="K81" s="370"/>
      <c r="L81" s="370"/>
      <c r="M81" s="370"/>
    </row>
    <row r="82" spans="4:17" x14ac:dyDescent="0.25">
      <c r="D82" s="370" t="s">
        <v>308</v>
      </c>
      <c r="E82" s="370"/>
      <c r="F82" s="370"/>
      <c r="G82" s="108"/>
      <c r="H82" s="108"/>
      <c r="I82" s="370"/>
      <c r="J82" s="370"/>
      <c r="K82" s="370"/>
      <c r="L82" s="370"/>
      <c r="M82" s="370"/>
    </row>
    <row r="83" spans="4:17" x14ac:dyDescent="0.25">
      <c r="D83" s="370" t="s">
        <v>310</v>
      </c>
      <c r="E83" s="370"/>
      <c r="F83" s="370"/>
      <c r="G83" s="108"/>
      <c r="H83" s="108"/>
      <c r="I83" s="370"/>
      <c r="J83" s="370"/>
      <c r="K83" s="370"/>
      <c r="L83" s="370"/>
      <c r="M83" s="370"/>
    </row>
    <row r="84" spans="4:17" x14ac:dyDescent="0.25">
      <c r="D84" s="370" t="s">
        <v>309</v>
      </c>
      <c r="E84" s="370"/>
      <c r="F84" s="370"/>
      <c r="G84" s="108"/>
      <c r="H84" s="108"/>
      <c r="I84" s="370"/>
      <c r="J84" s="370"/>
      <c r="K84" s="370"/>
      <c r="L84" s="370"/>
      <c r="M84" s="370"/>
    </row>
    <row r="85" spans="4:17" x14ac:dyDescent="0.25">
      <c r="D85" s="370" t="s">
        <v>311</v>
      </c>
      <c r="E85" s="370"/>
      <c r="F85" s="370"/>
      <c r="G85" s="108"/>
      <c r="H85" s="108"/>
    </row>
    <row r="86" spans="4:17" x14ac:dyDescent="0.25">
      <c r="D86" s="370" t="s">
        <v>312</v>
      </c>
      <c r="E86" s="370"/>
      <c r="F86" s="370"/>
      <c r="G86" s="108"/>
      <c r="H86" s="108"/>
    </row>
    <row r="87" spans="4:17" x14ac:dyDescent="0.25">
      <c r="D87" s="370" t="s">
        <v>313</v>
      </c>
      <c r="E87" s="370"/>
      <c r="F87" s="370"/>
      <c r="G87" s="108"/>
      <c r="H87" s="108"/>
    </row>
    <row r="88" spans="4:17" x14ac:dyDescent="0.25">
      <c r="D88" s="370" t="s">
        <v>314</v>
      </c>
      <c r="E88" s="370"/>
      <c r="F88" s="370"/>
      <c r="G88" s="108"/>
      <c r="H88" s="108"/>
    </row>
    <row r="89" spans="4:17" x14ac:dyDescent="0.25">
      <c r="D89" s="370" t="s">
        <v>315</v>
      </c>
      <c r="E89" s="613"/>
      <c r="F89" s="370"/>
      <c r="G89" s="108"/>
      <c r="H89" s="108"/>
    </row>
    <row r="90" spans="4:17" x14ac:dyDescent="0.25">
      <c r="D90" s="370" t="s">
        <v>317</v>
      </c>
      <c r="E90" s="370"/>
      <c r="F90" s="370"/>
      <c r="G90" s="108"/>
      <c r="H90" s="108"/>
    </row>
    <row r="91" spans="4:17" x14ac:dyDescent="0.25">
      <c r="D91" s="370" t="s">
        <v>318</v>
      </c>
      <c r="E91" s="370"/>
      <c r="F91" s="370"/>
      <c r="G91" s="108"/>
      <c r="H91" s="108"/>
    </row>
    <row r="92" spans="4:17" x14ac:dyDescent="0.25">
      <c r="D92" s="370" t="s">
        <v>320</v>
      </c>
      <c r="E92" s="370"/>
      <c r="F92" s="370"/>
      <c r="G92" s="108"/>
      <c r="H92" s="108"/>
    </row>
    <row r="95" spans="4:17" x14ac:dyDescent="0.25">
      <c r="Q95" s="443" t="s">
        <v>613</v>
      </c>
    </row>
    <row r="98" spans="17:19" x14ac:dyDescent="0.25">
      <c r="Q98" s="734" t="s">
        <v>611</v>
      </c>
      <c r="R98" s="734" t="e">
        <f ca="1">CELL("address",#REF!)</f>
        <v>#REF!</v>
      </c>
      <c r="S98" s="734" t="e" cm="1">
        <f t="array" aca="1" ref="S98" ca="1">INDIRECT(R98)</f>
        <v>#REF!</v>
      </c>
    </row>
    <row r="99" spans="17:19" x14ac:dyDescent="0.25">
      <c r="Q99" s="734" t="s">
        <v>557</v>
      </c>
      <c r="R99" s="734" t="e">
        <f ca="1">CELL("address",#REF!)</f>
        <v>#REF!</v>
      </c>
      <c r="S99" s="734" t="e" cm="1">
        <f t="array" aca="1" ref="S99" ca="1">INDIRECT(R99)</f>
        <v>#REF!</v>
      </c>
    </row>
    <row r="101" spans="17:19" x14ac:dyDescent="0.25">
      <c r="Q101" s="734" t="s">
        <v>547</v>
      </c>
      <c r="R101" s="734" t="e">
        <f ca="1">CELL("address",'Key inputs &amp; Outputs'!#REF!)</f>
        <v>#REF!</v>
      </c>
      <c r="S101" s="734" t="e" cm="1">
        <f t="array" aca="1" ref="S101" ca="1">INDIRECT(R101)</f>
        <v>#REF!</v>
      </c>
    </row>
    <row r="102" spans="17:19" x14ac:dyDescent="0.25">
      <c r="Q102" s="734" t="str">
        <f>D15</f>
        <v>Would you also grow and sell switchgrass to the digester owner?</v>
      </c>
      <c r="R102" s="734" t="str">
        <f ca="1">CELL("address",F15)</f>
        <v>$F$15</v>
      </c>
      <c r="S102" s="734" t="str" cm="1">
        <f t="array" aca="1" ref="S102" ca="1">INDIRECT(R102)</f>
        <v>No</v>
      </c>
    </row>
    <row r="103" spans="17:19" x14ac:dyDescent="0.25">
      <c r="Q103" s="734" t="str">
        <f>D16</f>
        <v>Acres of grass or vegetation you would have available to sell?</v>
      </c>
      <c r="R103" s="734" t="str">
        <f ca="1">CELL("address",F16)</f>
        <v>$F$16</v>
      </c>
      <c r="S103" s="734" cm="1">
        <f t="array" aca="1" ref="S103" ca="1">INDIRECT(R103)</f>
        <v>500</v>
      </c>
    </row>
  </sheetData>
  <sheetProtection sheet="1" objects="1" scenarios="1"/>
  <protectedRanges>
    <protectedRange sqref="F11:F12" name="Column G Inputs_2_1"/>
  </protectedRanges>
  <conditionalFormatting sqref="D9:F9">
    <cfRule type="expression" dxfId="98" priority="6919">
      <formula>$F$8="No"</formula>
    </cfRule>
  </conditionalFormatting>
  <conditionalFormatting sqref="D10:F12">
    <cfRule type="expression" dxfId="97" priority="6920">
      <formula>OR($F$8="No",$F$9="No")</formula>
    </cfRule>
  </conditionalFormatting>
  <conditionalFormatting sqref="D16:F17">
    <cfRule type="expression" dxfId="96" priority="2">
      <formula>$F$15="No"</formula>
    </cfRule>
  </conditionalFormatting>
  <dataValidations count="2">
    <dataValidation type="list" allowBlank="1" showInputMessage="1" showErrorMessage="1" sqref="F15 F8 F9" xr:uid="{00000000-0002-0000-0100-000001000000}">
      <formula1>"No, Yes"</formula1>
    </dataValidation>
    <dataValidation type="list" allowBlank="1" showInputMessage="1" showErrorMessage="1" sqref="F15 F8 F9" xr:uid="{33CB0AF9-B77A-483D-94B4-D461D11929C1}">
      <formula1>"Yes,No"</formula1>
    </dataValidation>
  </dataValidations>
  <pageMargins left="0.7" right="0.7" top="0.75" bottom="0.75" header="0.3" footer="0.3"/>
  <pageSetup orientation="portrait" horizontalDpi="0" verticalDpi="0"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790" id="{E78D5310-D1EA-48E6-8D76-C79D4C384DBD}">
            <xm:f>'Financial Inputs'!#REF!="Intermediate"</xm:f>
            <x14:dxf>
              <font>
                <color rgb="FFFF0000"/>
              </font>
              <fill>
                <patternFill patternType="none">
                  <bgColor auto="1"/>
                </patternFill>
              </fill>
            </x14:dxf>
          </x14:cfRule>
          <xm:sqref>G28</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1:N159"/>
  <sheetViews>
    <sheetView workbookViewId="0"/>
  </sheetViews>
  <sheetFormatPr defaultColWidth="9.7109375" defaultRowHeight="15" x14ac:dyDescent="0.25"/>
  <cols>
    <col min="1" max="1" width="2.7109375" customWidth="1"/>
    <col min="2" max="2" width="69.7109375" customWidth="1"/>
    <col min="3" max="4" width="15.7109375" customWidth="1"/>
    <col min="5" max="5" width="48.140625" customWidth="1"/>
    <col min="6" max="7" width="13.7109375" customWidth="1"/>
    <col min="8" max="11" width="25.85546875" customWidth="1"/>
    <col min="12" max="14" width="13.7109375" customWidth="1"/>
  </cols>
  <sheetData>
    <row r="1" spans="2:11" ht="15.75" thickBot="1" x14ac:dyDescent="0.3">
      <c r="D1" s="35"/>
    </row>
    <row r="2" spans="2:11" ht="30" customHeight="1" thickBot="1" x14ac:dyDescent="0.3">
      <c r="B2" s="54" t="s">
        <v>122</v>
      </c>
      <c r="C2" s="38"/>
      <c r="D2" s="55"/>
      <c r="E2" s="39"/>
      <c r="G2" s="206"/>
      <c r="H2" s="206"/>
      <c r="I2" s="206"/>
      <c r="J2" s="206"/>
      <c r="K2" s="206"/>
    </row>
    <row r="3" spans="2:11" ht="18.75" thickBot="1" x14ac:dyDescent="0.3">
      <c r="B3" s="56" t="s">
        <v>212</v>
      </c>
      <c r="C3" s="57"/>
      <c r="D3" s="58"/>
      <c r="E3" s="65"/>
      <c r="G3" s="206"/>
      <c r="H3" s="206"/>
      <c r="I3" s="206"/>
      <c r="J3" s="206"/>
      <c r="K3" s="206"/>
    </row>
    <row r="4" spans="2:11" ht="15.75" thickBot="1" x14ac:dyDescent="0.3">
      <c r="D4" s="35"/>
    </row>
    <row r="5" spans="2:11" ht="30.75" thickBot="1" x14ac:dyDescent="0.3">
      <c r="B5" s="79" t="e">
        <f>'Financial Inputs'!#REF!</f>
        <v>#REF!</v>
      </c>
      <c r="C5" s="69" t="s">
        <v>0</v>
      </c>
      <c r="D5" s="70" t="s">
        <v>59</v>
      </c>
      <c r="E5" s="60" t="s">
        <v>96</v>
      </c>
    </row>
    <row r="6" spans="2:11" ht="15.75" x14ac:dyDescent="0.25">
      <c r="B6" s="102" t="s">
        <v>60</v>
      </c>
      <c r="C6" s="361">
        <v>0</v>
      </c>
      <c r="D6" s="101">
        <v>1</v>
      </c>
      <c r="E6" s="199" t="s">
        <v>13</v>
      </c>
    </row>
    <row r="7" spans="2:11" ht="15.75" x14ac:dyDescent="0.25">
      <c r="B7" s="102" t="s">
        <v>60</v>
      </c>
      <c r="C7" s="361">
        <v>0</v>
      </c>
      <c r="D7" s="101">
        <v>1</v>
      </c>
      <c r="E7" s="199" t="s">
        <v>13</v>
      </c>
    </row>
    <row r="8" spans="2:11" ht="15.75" x14ac:dyDescent="0.25">
      <c r="B8" s="102" t="s">
        <v>60</v>
      </c>
      <c r="C8" s="361">
        <v>0</v>
      </c>
      <c r="D8" s="101">
        <v>1</v>
      </c>
      <c r="E8" s="199" t="s">
        <v>13</v>
      </c>
    </row>
    <row r="9" spans="2:11" ht="15.75" x14ac:dyDescent="0.25">
      <c r="B9" s="102" t="s">
        <v>60</v>
      </c>
      <c r="C9" s="361">
        <v>0</v>
      </c>
      <c r="D9" s="101">
        <v>1</v>
      </c>
      <c r="E9" s="199" t="s">
        <v>13</v>
      </c>
    </row>
    <row r="10" spans="2:11" ht="15.75" x14ac:dyDescent="0.25">
      <c r="B10" s="102" t="s">
        <v>60</v>
      </c>
      <c r="C10" s="361">
        <v>0</v>
      </c>
      <c r="D10" s="101">
        <v>1</v>
      </c>
      <c r="E10" s="199" t="s">
        <v>13</v>
      </c>
    </row>
    <row r="11" spans="2:11" ht="15.75" x14ac:dyDescent="0.25">
      <c r="B11" s="102" t="s">
        <v>60</v>
      </c>
      <c r="C11" s="361">
        <v>0</v>
      </c>
      <c r="D11" s="101">
        <v>1</v>
      </c>
      <c r="E11" s="199" t="s">
        <v>13</v>
      </c>
    </row>
    <row r="12" spans="2:11" ht="15.75" x14ac:dyDescent="0.25">
      <c r="B12" s="102" t="s">
        <v>60</v>
      </c>
      <c r="C12" s="361">
        <v>0</v>
      </c>
      <c r="D12" s="101">
        <v>1</v>
      </c>
      <c r="E12" s="199" t="s">
        <v>13</v>
      </c>
    </row>
    <row r="13" spans="2:11" ht="15.75" x14ac:dyDescent="0.25">
      <c r="B13" s="102" t="s">
        <v>60</v>
      </c>
      <c r="C13" s="361">
        <v>0</v>
      </c>
      <c r="D13" s="101">
        <v>1</v>
      </c>
      <c r="E13" s="199" t="s">
        <v>13</v>
      </c>
    </row>
    <row r="14" spans="2:11" ht="15.75" x14ac:dyDescent="0.25">
      <c r="B14" s="102" t="s">
        <v>60</v>
      </c>
      <c r="C14" s="361">
        <v>0</v>
      </c>
      <c r="D14" s="101">
        <v>1</v>
      </c>
      <c r="E14" s="199" t="s">
        <v>13</v>
      </c>
    </row>
    <row r="15" spans="2:11" ht="15.75" x14ac:dyDescent="0.25">
      <c r="B15" s="102" t="s">
        <v>60</v>
      </c>
      <c r="C15" s="103">
        <v>0</v>
      </c>
      <c r="D15" s="101">
        <v>1</v>
      </c>
      <c r="E15" s="199" t="s">
        <v>13</v>
      </c>
    </row>
    <row r="16" spans="2:11" ht="15.75" x14ac:dyDescent="0.25">
      <c r="B16" s="102" t="s">
        <v>60</v>
      </c>
      <c r="C16" s="103">
        <v>0</v>
      </c>
      <c r="D16" s="101">
        <v>1</v>
      </c>
      <c r="E16" s="199" t="s">
        <v>13</v>
      </c>
    </row>
    <row r="17" spans="2:5" ht="15.75" x14ac:dyDescent="0.25">
      <c r="B17" s="102" t="s">
        <v>60</v>
      </c>
      <c r="C17" s="103">
        <v>0</v>
      </c>
      <c r="D17" s="101">
        <v>1</v>
      </c>
      <c r="E17" s="199" t="s">
        <v>13</v>
      </c>
    </row>
    <row r="18" spans="2:5" ht="15.75" x14ac:dyDescent="0.25">
      <c r="B18" s="102" t="s">
        <v>60</v>
      </c>
      <c r="C18" s="103">
        <v>0</v>
      </c>
      <c r="D18" s="101">
        <v>1</v>
      </c>
      <c r="E18" s="199" t="s">
        <v>13</v>
      </c>
    </row>
    <row r="19" spans="2:5" ht="15.75" x14ac:dyDescent="0.25">
      <c r="B19" s="102" t="s">
        <v>60</v>
      </c>
      <c r="C19" s="103">
        <v>0</v>
      </c>
      <c r="D19" s="101">
        <v>1</v>
      </c>
      <c r="E19" s="199" t="s">
        <v>13</v>
      </c>
    </row>
    <row r="20" spans="2:5" ht="15.75" x14ac:dyDescent="0.25">
      <c r="B20" s="102" t="s">
        <v>60</v>
      </c>
      <c r="C20" s="103">
        <v>0</v>
      </c>
      <c r="D20" s="101">
        <v>1</v>
      </c>
      <c r="E20" s="199" t="s">
        <v>13</v>
      </c>
    </row>
    <row r="21" spans="2:5" ht="15.75" x14ac:dyDescent="0.25">
      <c r="B21" s="102" t="s">
        <v>60</v>
      </c>
      <c r="C21" s="103">
        <v>0</v>
      </c>
      <c r="D21" s="101">
        <v>1</v>
      </c>
      <c r="E21" s="199" t="s">
        <v>13</v>
      </c>
    </row>
    <row r="22" spans="2:5" ht="15.75" x14ac:dyDescent="0.25">
      <c r="B22" s="102" t="s">
        <v>60</v>
      </c>
      <c r="C22" s="103">
        <v>0</v>
      </c>
      <c r="D22" s="101">
        <v>1</v>
      </c>
      <c r="E22" s="199" t="s">
        <v>13</v>
      </c>
    </row>
    <row r="23" spans="2:5" ht="15.75" x14ac:dyDescent="0.25">
      <c r="B23" s="102" t="s">
        <v>60</v>
      </c>
      <c r="C23" s="103">
        <v>0</v>
      </c>
      <c r="D23" s="101">
        <v>1</v>
      </c>
      <c r="E23" s="199" t="s">
        <v>13</v>
      </c>
    </row>
    <row r="24" spans="2:5" ht="15.75" x14ac:dyDescent="0.25">
      <c r="B24" s="102" t="s">
        <v>60</v>
      </c>
      <c r="C24" s="103">
        <v>0</v>
      </c>
      <c r="D24" s="101">
        <v>1</v>
      </c>
      <c r="E24" s="199" t="s">
        <v>13</v>
      </c>
    </row>
    <row r="25" spans="2:5" ht="16.5" thickBot="1" x14ac:dyDescent="0.3">
      <c r="B25" s="104" t="s">
        <v>60</v>
      </c>
      <c r="C25" s="105">
        <v>0</v>
      </c>
      <c r="D25" s="106">
        <v>1</v>
      </c>
      <c r="E25" s="199" t="s">
        <v>13</v>
      </c>
    </row>
    <row r="26" spans="2:5" ht="30" customHeight="1" thickTop="1" x14ac:dyDescent="0.25">
      <c r="B26" s="66" t="s">
        <v>100</v>
      </c>
      <c r="C26" s="67">
        <f>SUM(C6:C25)</f>
        <v>0</v>
      </c>
      <c r="D26" s="46" t="e">
        <f>SUMPRODUCT(C6:C25,D6:D25)/C26</f>
        <v>#DIV/0!</v>
      </c>
      <c r="E26" s="68"/>
    </row>
    <row r="27" spans="2:5" ht="16.5" customHeight="1" x14ac:dyDescent="0.25">
      <c r="B27" s="74"/>
      <c r="C27" s="75"/>
      <c r="D27" s="61"/>
    </row>
    <row r="28" spans="2:5" ht="30" customHeight="1" x14ac:dyDescent="0.25">
      <c r="B28" s="593" t="s">
        <v>61</v>
      </c>
      <c r="C28" s="75"/>
      <c r="D28" s="61"/>
    </row>
    <row r="29" spans="2:5" ht="16.5" thickBot="1" x14ac:dyDescent="0.3">
      <c r="B29" s="76"/>
      <c r="C29" s="77"/>
      <c r="D29" s="78"/>
      <c r="E29" s="73"/>
    </row>
    <row r="30" spans="2:5" ht="30" customHeight="1" thickBot="1" x14ac:dyDescent="0.3">
      <c r="B30" s="79" t="e">
        <f>'Financial Inputs'!#REF!</f>
        <v>#REF!</v>
      </c>
      <c r="C30" s="69" t="s">
        <v>0</v>
      </c>
      <c r="D30" s="70" t="s">
        <v>59</v>
      </c>
      <c r="E30" s="60" t="s">
        <v>96</v>
      </c>
    </row>
    <row r="31" spans="2:5" ht="15.75" x14ac:dyDescent="0.25">
      <c r="B31" s="102" t="s">
        <v>60</v>
      </c>
      <c r="C31" s="361">
        <v>0</v>
      </c>
      <c r="D31" s="101">
        <v>1</v>
      </c>
      <c r="E31" s="199" t="s">
        <v>13</v>
      </c>
    </row>
    <row r="32" spans="2:5" ht="15.75" x14ac:dyDescent="0.25">
      <c r="B32" s="102" t="s">
        <v>60</v>
      </c>
      <c r="C32" s="361">
        <v>0</v>
      </c>
      <c r="D32" s="362">
        <v>1</v>
      </c>
      <c r="E32" s="199" t="s">
        <v>13</v>
      </c>
    </row>
    <row r="33" spans="2:5" ht="15.75" x14ac:dyDescent="0.25">
      <c r="B33" s="102" t="s">
        <v>60</v>
      </c>
      <c r="C33" s="361">
        <v>0</v>
      </c>
      <c r="D33" s="362">
        <v>1</v>
      </c>
      <c r="E33" s="199" t="s">
        <v>13</v>
      </c>
    </row>
    <row r="34" spans="2:5" ht="15.75" x14ac:dyDescent="0.25">
      <c r="B34" s="102" t="s">
        <v>60</v>
      </c>
      <c r="C34" s="361">
        <v>0</v>
      </c>
      <c r="D34" s="362">
        <v>1</v>
      </c>
      <c r="E34" s="199" t="s">
        <v>13</v>
      </c>
    </row>
    <row r="35" spans="2:5" ht="15.75" x14ac:dyDescent="0.25">
      <c r="B35" s="102" t="s">
        <v>60</v>
      </c>
      <c r="C35" s="361">
        <v>0</v>
      </c>
      <c r="D35" s="362">
        <v>1</v>
      </c>
      <c r="E35" s="199" t="s">
        <v>13</v>
      </c>
    </row>
    <row r="36" spans="2:5" ht="15.75" x14ac:dyDescent="0.25">
      <c r="B36" s="102" t="s">
        <v>60</v>
      </c>
      <c r="C36" s="361">
        <v>0</v>
      </c>
      <c r="D36" s="362">
        <v>1</v>
      </c>
      <c r="E36" s="199" t="s">
        <v>13</v>
      </c>
    </row>
    <row r="37" spans="2:5" ht="15.75" x14ac:dyDescent="0.25">
      <c r="B37" s="102" t="s">
        <v>60</v>
      </c>
      <c r="C37" s="361">
        <v>0</v>
      </c>
      <c r="D37" s="362">
        <v>1</v>
      </c>
      <c r="E37" s="199" t="s">
        <v>13</v>
      </c>
    </row>
    <row r="38" spans="2:5" ht="15.75" x14ac:dyDescent="0.25">
      <c r="B38" s="102" t="s">
        <v>60</v>
      </c>
      <c r="C38" s="361">
        <v>0</v>
      </c>
      <c r="D38" s="362">
        <v>1</v>
      </c>
      <c r="E38" s="199" t="s">
        <v>13</v>
      </c>
    </row>
    <row r="39" spans="2:5" ht="15.75" x14ac:dyDescent="0.25">
      <c r="B39" s="102" t="s">
        <v>60</v>
      </c>
      <c r="C39" s="361">
        <v>0</v>
      </c>
      <c r="D39" s="362">
        <v>1</v>
      </c>
      <c r="E39" s="199" t="s">
        <v>13</v>
      </c>
    </row>
    <row r="40" spans="2:5" ht="15.75" x14ac:dyDescent="0.25">
      <c r="B40" s="102" t="s">
        <v>60</v>
      </c>
      <c r="C40" s="361">
        <v>0</v>
      </c>
      <c r="D40" s="362">
        <v>1</v>
      </c>
      <c r="E40" s="199" t="s">
        <v>13</v>
      </c>
    </row>
    <row r="41" spans="2:5" ht="15.75" x14ac:dyDescent="0.25">
      <c r="B41" s="102" t="s">
        <v>60</v>
      </c>
      <c r="C41" s="103">
        <v>0</v>
      </c>
      <c r="D41" s="362">
        <v>1</v>
      </c>
      <c r="E41" s="199" t="s">
        <v>13</v>
      </c>
    </row>
    <row r="42" spans="2:5" ht="15.75" x14ac:dyDescent="0.25">
      <c r="B42" s="102" t="s">
        <v>60</v>
      </c>
      <c r="C42" s="103">
        <v>0</v>
      </c>
      <c r="D42" s="362">
        <v>1</v>
      </c>
      <c r="E42" s="199" t="s">
        <v>13</v>
      </c>
    </row>
    <row r="43" spans="2:5" ht="15.75" x14ac:dyDescent="0.25">
      <c r="B43" s="102" t="s">
        <v>60</v>
      </c>
      <c r="C43" s="103">
        <v>0</v>
      </c>
      <c r="D43" s="101">
        <v>1</v>
      </c>
      <c r="E43" s="199" t="s">
        <v>13</v>
      </c>
    </row>
    <row r="44" spans="2:5" ht="15.75" x14ac:dyDescent="0.25">
      <c r="B44" s="102" t="s">
        <v>60</v>
      </c>
      <c r="C44" s="103">
        <v>0</v>
      </c>
      <c r="D44" s="101">
        <v>1</v>
      </c>
      <c r="E44" s="199" t="s">
        <v>13</v>
      </c>
    </row>
    <row r="45" spans="2:5" ht="15.75" x14ac:dyDescent="0.25">
      <c r="B45" s="102" t="s">
        <v>60</v>
      </c>
      <c r="C45" s="103">
        <v>0</v>
      </c>
      <c r="D45" s="101">
        <v>1</v>
      </c>
      <c r="E45" s="199" t="s">
        <v>13</v>
      </c>
    </row>
    <row r="46" spans="2:5" ht="15.75" x14ac:dyDescent="0.25">
      <c r="B46" s="102" t="s">
        <v>60</v>
      </c>
      <c r="C46" s="103">
        <v>0</v>
      </c>
      <c r="D46" s="101">
        <v>1</v>
      </c>
      <c r="E46" s="199" t="s">
        <v>13</v>
      </c>
    </row>
    <row r="47" spans="2:5" ht="15.75" x14ac:dyDescent="0.25">
      <c r="B47" s="102" t="s">
        <v>60</v>
      </c>
      <c r="C47" s="103">
        <v>0</v>
      </c>
      <c r="D47" s="101">
        <v>1</v>
      </c>
      <c r="E47" s="199" t="s">
        <v>13</v>
      </c>
    </row>
    <row r="48" spans="2:5" ht="15.75" x14ac:dyDescent="0.25">
      <c r="B48" s="102" t="s">
        <v>60</v>
      </c>
      <c r="C48" s="103">
        <v>0</v>
      </c>
      <c r="D48" s="101">
        <v>1</v>
      </c>
      <c r="E48" s="199" t="s">
        <v>13</v>
      </c>
    </row>
    <row r="49" spans="2:5" ht="15.75" x14ac:dyDescent="0.25">
      <c r="B49" s="102" t="s">
        <v>60</v>
      </c>
      <c r="C49" s="103">
        <v>0</v>
      </c>
      <c r="D49" s="101">
        <v>1</v>
      </c>
      <c r="E49" s="199" t="s">
        <v>13</v>
      </c>
    </row>
    <row r="50" spans="2:5" ht="16.5" thickBot="1" x14ac:dyDescent="0.3">
      <c r="B50" s="104" t="s">
        <v>60</v>
      </c>
      <c r="C50" s="105">
        <v>0</v>
      </c>
      <c r="D50" s="106">
        <v>1</v>
      </c>
      <c r="E50" s="199" t="s">
        <v>13</v>
      </c>
    </row>
    <row r="51" spans="2:5" ht="30" customHeight="1" thickTop="1" x14ac:dyDescent="0.25">
      <c r="B51" s="66" t="s">
        <v>102</v>
      </c>
      <c r="C51" s="67">
        <f>SUM(C31:C50)</f>
        <v>0</v>
      </c>
      <c r="D51" s="46" t="e">
        <f>SUMPRODUCT(C31:C50,D31:D50)/C51</f>
        <v>#DIV/0!</v>
      </c>
      <c r="E51" s="42"/>
    </row>
    <row r="53" spans="2:5" ht="30" customHeight="1" x14ac:dyDescent="0.25">
      <c r="B53" s="43" t="s">
        <v>61</v>
      </c>
    </row>
    <row r="54" spans="2:5" ht="15.75" thickBot="1" x14ac:dyDescent="0.3"/>
    <row r="55" spans="2:5" ht="30.75" thickBot="1" x14ac:dyDescent="0.3">
      <c r="B55" s="36" t="e">
        <f>'Financial Inputs'!#REF!</f>
        <v>#REF!</v>
      </c>
      <c r="C55" s="69" t="s">
        <v>0</v>
      </c>
      <c r="D55" s="70" t="s">
        <v>59</v>
      </c>
      <c r="E55" s="60" t="s">
        <v>96</v>
      </c>
    </row>
    <row r="56" spans="2:5" ht="15.75" x14ac:dyDescent="0.25">
      <c r="B56" s="200" t="s">
        <v>60</v>
      </c>
      <c r="C56" s="363">
        <v>0</v>
      </c>
      <c r="D56" s="101">
        <v>0.5</v>
      </c>
      <c r="E56" s="199" t="s">
        <v>16</v>
      </c>
    </row>
    <row r="57" spans="2:5" ht="15.75" x14ac:dyDescent="0.25">
      <c r="B57" s="200" t="s">
        <v>60</v>
      </c>
      <c r="C57" s="363">
        <v>0</v>
      </c>
      <c r="D57" s="101">
        <v>0.5</v>
      </c>
      <c r="E57" s="199" t="s">
        <v>16</v>
      </c>
    </row>
    <row r="58" spans="2:5" ht="15.75" x14ac:dyDescent="0.25">
      <c r="B58" s="200" t="s">
        <v>60</v>
      </c>
      <c r="C58" s="363">
        <v>0</v>
      </c>
      <c r="D58" s="101">
        <v>0.5</v>
      </c>
      <c r="E58" s="199" t="s">
        <v>16</v>
      </c>
    </row>
    <row r="59" spans="2:5" ht="15.75" x14ac:dyDescent="0.25">
      <c r="B59" s="200" t="s">
        <v>60</v>
      </c>
      <c r="C59" s="363">
        <v>0</v>
      </c>
      <c r="D59" s="101">
        <v>0.5</v>
      </c>
      <c r="E59" s="199" t="s">
        <v>16</v>
      </c>
    </row>
    <row r="60" spans="2:5" ht="15.75" x14ac:dyDescent="0.25">
      <c r="B60" s="200" t="s">
        <v>60</v>
      </c>
      <c r="C60" s="201">
        <v>0</v>
      </c>
      <c r="D60" s="101">
        <v>0.5</v>
      </c>
      <c r="E60" s="199" t="s">
        <v>16</v>
      </c>
    </row>
    <row r="61" spans="2:5" ht="15.75" x14ac:dyDescent="0.25">
      <c r="B61" s="200" t="s">
        <v>60</v>
      </c>
      <c r="C61" s="201">
        <v>0</v>
      </c>
      <c r="D61" s="101">
        <v>0.5</v>
      </c>
      <c r="E61" s="199" t="s">
        <v>16</v>
      </c>
    </row>
    <row r="62" spans="2:5" ht="15.75" x14ac:dyDescent="0.25">
      <c r="B62" s="200" t="s">
        <v>60</v>
      </c>
      <c r="C62" s="201">
        <v>0</v>
      </c>
      <c r="D62" s="101">
        <v>0.5</v>
      </c>
      <c r="E62" s="199" t="s">
        <v>16</v>
      </c>
    </row>
    <row r="63" spans="2:5" ht="15.75" x14ac:dyDescent="0.25">
      <c r="B63" s="200" t="s">
        <v>60</v>
      </c>
      <c r="C63" s="201">
        <v>0</v>
      </c>
      <c r="D63" s="101">
        <v>0.5</v>
      </c>
      <c r="E63" s="199" t="s">
        <v>16</v>
      </c>
    </row>
    <row r="64" spans="2:5" ht="15.75" x14ac:dyDescent="0.25">
      <c r="B64" s="200" t="s">
        <v>60</v>
      </c>
      <c r="C64" s="201">
        <v>0</v>
      </c>
      <c r="D64" s="101">
        <v>0.5</v>
      </c>
      <c r="E64" s="199" t="s">
        <v>16</v>
      </c>
    </row>
    <row r="65" spans="2:5" ht="15.75" x14ac:dyDescent="0.25">
      <c r="B65" s="200" t="s">
        <v>60</v>
      </c>
      <c r="C65" s="201">
        <v>0</v>
      </c>
      <c r="D65" s="101">
        <v>0.5</v>
      </c>
      <c r="E65" s="199" t="s">
        <v>16</v>
      </c>
    </row>
    <row r="66" spans="2:5" ht="15.75" x14ac:dyDescent="0.25">
      <c r="B66" s="200" t="s">
        <v>60</v>
      </c>
      <c r="C66" s="201">
        <v>0</v>
      </c>
      <c r="D66" s="101">
        <v>0.5</v>
      </c>
      <c r="E66" s="199" t="s">
        <v>16</v>
      </c>
    </row>
    <row r="67" spans="2:5" ht="15.75" x14ac:dyDescent="0.25">
      <c r="B67" s="200" t="s">
        <v>60</v>
      </c>
      <c r="C67" s="201">
        <v>0</v>
      </c>
      <c r="D67" s="101">
        <v>0.5</v>
      </c>
      <c r="E67" s="199" t="s">
        <v>16</v>
      </c>
    </row>
    <row r="68" spans="2:5" ht="15.75" x14ac:dyDescent="0.25">
      <c r="B68" s="200" t="s">
        <v>60</v>
      </c>
      <c r="C68" s="201">
        <v>0</v>
      </c>
      <c r="D68" s="101">
        <v>0.5</v>
      </c>
      <c r="E68" s="199" t="s">
        <v>16</v>
      </c>
    </row>
    <row r="69" spans="2:5" ht="15.75" x14ac:dyDescent="0.25">
      <c r="B69" s="200" t="s">
        <v>60</v>
      </c>
      <c r="C69" s="201">
        <v>0</v>
      </c>
      <c r="D69" s="101">
        <v>0.5</v>
      </c>
      <c r="E69" s="199" t="s">
        <v>16</v>
      </c>
    </row>
    <row r="70" spans="2:5" ht="15.75" x14ac:dyDescent="0.25">
      <c r="B70" s="200" t="s">
        <v>60</v>
      </c>
      <c r="C70" s="201">
        <v>0</v>
      </c>
      <c r="D70" s="101">
        <v>0.5</v>
      </c>
      <c r="E70" s="199" t="s">
        <v>16</v>
      </c>
    </row>
    <row r="71" spans="2:5" ht="15.75" x14ac:dyDescent="0.25">
      <c r="B71" s="200" t="s">
        <v>60</v>
      </c>
      <c r="C71" s="201">
        <v>0</v>
      </c>
      <c r="D71" s="101">
        <v>0.5</v>
      </c>
      <c r="E71" s="199" t="s">
        <v>16</v>
      </c>
    </row>
    <row r="72" spans="2:5" ht="15.75" x14ac:dyDescent="0.25">
      <c r="B72" s="200" t="s">
        <v>60</v>
      </c>
      <c r="C72" s="201">
        <v>0</v>
      </c>
      <c r="D72" s="101">
        <v>0.5</v>
      </c>
      <c r="E72" s="199" t="s">
        <v>16</v>
      </c>
    </row>
    <row r="73" spans="2:5" ht="15.75" x14ac:dyDescent="0.25">
      <c r="B73" s="200" t="s">
        <v>60</v>
      </c>
      <c r="C73" s="201">
        <v>0</v>
      </c>
      <c r="D73" s="101">
        <v>0.5</v>
      </c>
      <c r="E73" s="199" t="s">
        <v>16</v>
      </c>
    </row>
    <row r="74" spans="2:5" ht="15.75" x14ac:dyDescent="0.25">
      <c r="B74" s="200" t="s">
        <v>60</v>
      </c>
      <c r="C74" s="201">
        <v>0</v>
      </c>
      <c r="D74" s="101">
        <v>0.5</v>
      </c>
      <c r="E74" s="199" t="s">
        <v>16</v>
      </c>
    </row>
    <row r="75" spans="2:5" ht="16.5" thickBot="1" x14ac:dyDescent="0.3">
      <c r="B75" s="104" t="s">
        <v>60</v>
      </c>
      <c r="C75" s="105">
        <v>0</v>
      </c>
      <c r="D75" s="106">
        <v>0.5</v>
      </c>
      <c r="E75" s="199" t="s">
        <v>16</v>
      </c>
    </row>
    <row r="76" spans="2:5" ht="30" customHeight="1" thickTop="1" x14ac:dyDescent="0.25">
      <c r="B76" s="66" t="s">
        <v>103</v>
      </c>
      <c r="C76" s="67">
        <f>SUM(C56:C75)</f>
        <v>0</v>
      </c>
      <c r="D76" s="46" t="e">
        <f>SUMPRODUCT(C56:C75,D56:D75)/C76</f>
        <v>#DIV/0!</v>
      </c>
      <c r="E76" s="44"/>
    </row>
    <row r="77" spans="2:5" ht="15.75" customHeight="1" x14ac:dyDescent="0.25"/>
    <row r="78" spans="2:5" ht="30" customHeight="1" x14ac:dyDescent="0.25">
      <c r="B78" s="43" t="s">
        <v>61</v>
      </c>
    </row>
    <row r="79" spans="2:5" ht="15.75" customHeight="1" thickBot="1" x14ac:dyDescent="0.3">
      <c r="B79" s="43"/>
    </row>
    <row r="80" spans="2:5" ht="30.75" thickBot="1" x14ac:dyDescent="0.3">
      <c r="B80" s="36" t="e">
        <f>'Financial Inputs'!#REF!</f>
        <v>#REF!</v>
      </c>
      <c r="C80" s="69" t="s">
        <v>0</v>
      </c>
      <c r="D80" s="70" t="s">
        <v>59</v>
      </c>
      <c r="E80" s="60" t="s">
        <v>96</v>
      </c>
    </row>
    <row r="81" spans="2:5" ht="15.75" x14ac:dyDescent="0.25">
      <c r="B81" s="102" t="s">
        <v>60</v>
      </c>
      <c r="C81" s="361">
        <v>0</v>
      </c>
      <c r="D81" s="101">
        <v>1</v>
      </c>
      <c r="E81" s="199" t="s">
        <v>13</v>
      </c>
    </row>
    <row r="82" spans="2:5" ht="15.75" x14ac:dyDescent="0.25">
      <c r="B82" s="102" t="s">
        <v>60</v>
      </c>
      <c r="C82" s="361">
        <v>0</v>
      </c>
      <c r="D82" s="101">
        <v>1</v>
      </c>
      <c r="E82" s="199" t="s">
        <v>13</v>
      </c>
    </row>
    <row r="83" spans="2:5" ht="15.75" x14ac:dyDescent="0.25">
      <c r="B83" s="102" t="s">
        <v>60</v>
      </c>
      <c r="C83" s="361">
        <v>0</v>
      </c>
      <c r="D83" s="101">
        <v>1</v>
      </c>
      <c r="E83" s="199" t="s">
        <v>13</v>
      </c>
    </row>
    <row r="84" spans="2:5" ht="15.75" x14ac:dyDescent="0.25">
      <c r="B84" s="102" t="s">
        <v>60</v>
      </c>
      <c r="C84" s="361">
        <v>0</v>
      </c>
      <c r="D84" s="101">
        <v>1</v>
      </c>
      <c r="E84" s="199" t="s">
        <v>13</v>
      </c>
    </row>
    <row r="85" spans="2:5" ht="15.75" x14ac:dyDescent="0.25">
      <c r="B85" s="102" t="s">
        <v>60</v>
      </c>
      <c r="C85" s="361">
        <v>0</v>
      </c>
      <c r="D85" s="101">
        <v>1</v>
      </c>
      <c r="E85" s="199" t="s">
        <v>13</v>
      </c>
    </row>
    <row r="86" spans="2:5" ht="15.75" x14ac:dyDescent="0.25">
      <c r="B86" s="102" t="s">
        <v>60</v>
      </c>
      <c r="C86" s="361">
        <v>0</v>
      </c>
      <c r="D86" s="101">
        <v>1</v>
      </c>
      <c r="E86" s="199" t="s">
        <v>13</v>
      </c>
    </row>
    <row r="87" spans="2:5" ht="15.75" x14ac:dyDescent="0.25">
      <c r="B87" s="102" t="s">
        <v>60</v>
      </c>
      <c r="C87" s="103">
        <v>0</v>
      </c>
      <c r="D87" s="101">
        <v>1</v>
      </c>
      <c r="E87" s="199" t="s">
        <v>13</v>
      </c>
    </row>
    <row r="88" spans="2:5" ht="15.75" x14ac:dyDescent="0.25">
      <c r="B88" s="102" t="s">
        <v>60</v>
      </c>
      <c r="C88" s="103">
        <v>0</v>
      </c>
      <c r="D88" s="101">
        <v>1</v>
      </c>
      <c r="E88" s="199" t="s">
        <v>13</v>
      </c>
    </row>
    <row r="89" spans="2:5" ht="15.75" x14ac:dyDescent="0.25">
      <c r="B89" s="102" t="s">
        <v>60</v>
      </c>
      <c r="C89" s="103">
        <v>0</v>
      </c>
      <c r="D89" s="101">
        <v>1</v>
      </c>
      <c r="E89" s="199" t="s">
        <v>13</v>
      </c>
    </row>
    <row r="90" spans="2:5" ht="15.75" x14ac:dyDescent="0.25">
      <c r="B90" s="102" t="s">
        <v>60</v>
      </c>
      <c r="C90" s="103">
        <v>0</v>
      </c>
      <c r="D90" s="101">
        <v>1</v>
      </c>
      <c r="E90" s="199" t="s">
        <v>13</v>
      </c>
    </row>
    <row r="91" spans="2:5" ht="15.75" x14ac:dyDescent="0.25">
      <c r="B91" s="102" t="s">
        <v>60</v>
      </c>
      <c r="C91" s="103">
        <v>0</v>
      </c>
      <c r="D91" s="101">
        <v>1</v>
      </c>
      <c r="E91" s="199" t="s">
        <v>13</v>
      </c>
    </row>
    <row r="92" spans="2:5" ht="15.75" x14ac:dyDescent="0.25">
      <c r="B92" s="102" t="s">
        <v>60</v>
      </c>
      <c r="C92" s="103">
        <v>0</v>
      </c>
      <c r="D92" s="101">
        <v>1</v>
      </c>
      <c r="E92" s="199" t="s">
        <v>13</v>
      </c>
    </row>
    <row r="93" spans="2:5" ht="15.75" x14ac:dyDescent="0.25">
      <c r="B93" s="102" t="s">
        <v>60</v>
      </c>
      <c r="C93" s="103">
        <v>0</v>
      </c>
      <c r="D93" s="101">
        <v>1</v>
      </c>
      <c r="E93" s="199" t="s">
        <v>13</v>
      </c>
    </row>
    <row r="94" spans="2:5" ht="15.75" x14ac:dyDescent="0.25">
      <c r="B94" s="102" t="s">
        <v>60</v>
      </c>
      <c r="C94" s="103">
        <v>0</v>
      </c>
      <c r="D94" s="101">
        <v>1</v>
      </c>
      <c r="E94" s="199" t="s">
        <v>13</v>
      </c>
    </row>
    <row r="95" spans="2:5" ht="15.75" x14ac:dyDescent="0.25">
      <c r="B95" s="102" t="s">
        <v>60</v>
      </c>
      <c r="C95" s="103">
        <v>0</v>
      </c>
      <c r="D95" s="101">
        <v>1</v>
      </c>
      <c r="E95" s="199" t="s">
        <v>13</v>
      </c>
    </row>
    <row r="96" spans="2:5" ht="15.75" x14ac:dyDescent="0.25">
      <c r="B96" s="102" t="s">
        <v>60</v>
      </c>
      <c r="C96" s="103">
        <v>0</v>
      </c>
      <c r="D96" s="101">
        <v>1</v>
      </c>
      <c r="E96" s="199" t="s">
        <v>13</v>
      </c>
    </row>
    <row r="97" spans="2:5" ht="15.75" x14ac:dyDescent="0.25">
      <c r="B97" s="102" t="s">
        <v>60</v>
      </c>
      <c r="C97" s="103">
        <v>0</v>
      </c>
      <c r="D97" s="101">
        <v>1</v>
      </c>
      <c r="E97" s="199" t="s">
        <v>13</v>
      </c>
    </row>
    <row r="98" spans="2:5" ht="15.75" x14ac:dyDescent="0.25">
      <c r="B98" s="102" t="s">
        <v>60</v>
      </c>
      <c r="C98" s="103">
        <v>0</v>
      </c>
      <c r="D98" s="101">
        <v>1</v>
      </c>
      <c r="E98" s="199" t="s">
        <v>13</v>
      </c>
    </row>
    <row r="99" spans="2:5" ht="15.75" x14ac:dyDescent="0.25">
      <c r="B99" s="102" t="s">
        <v>60</v>
      </c>
      <c r="C99" s="103">
        <v>0</v>
      </c>
      <c r="D99" s="101">
        <v>1</v>
      </c>
      <c r="E99" s="199" t="s">
        <v>13</v>
      </c>
    </row>
    <row r="100" spans="2:5" ht="16.5" thickBot="1" x14ac:dyDescent="0.3">
      <c r="B100" s="104" t="s">
        <v>60</v>
      </c>
      <c r="C100" s="105">
        <v>0</v>
      </c>
      <c r="D100" s="106">
        <v>1</v>
      </c>
      <c r="E100" s="199" t="s">
        <v>13</v>
      </c>
    </row>
    <row r="101" spans="2:5" ht="30" customHeight="1" thickTop="1" x14ac:dyDescent="0.25">
      <c r="B101" s="66" t="s">
        <v>107</v>
      </c>
      <c r="C101" s="67">
        <f>SUM(C81:C100)</f>
        <v>0</v>
      </c>
      <c r="D101" s="46" t="e">
        <f>SUMPRODUCT(C81:C100,D81:D100)/C101</f>
        <v>#DIV/0!</v>
      </c>
      <c r="E101" s="44"/>
    </row>
    <row r="102" spans="2:5" ht="15.75" customHeight="1" x14ac:dyDescent="0.25">
      <c r="B102" s="74"/>
      <c r="C102" s="75"/>
      <c r="D102" s="61"/>
      <c r="E102" s="88"/>
    </row>
    <row r="103" spans="2:5" ht="30" customHeight="1" x14ac:dyDescent="0.25">
      <c r="B103" s="43" t="s">
        <v>61</v>
      </c>
      <c r="C103" s="75"/>
      <c r="D103" s="61"/>
      <c r="E103" s="88"/>
    </row>
    <row r="104" spans="2:5" ht="15.75" customHeight="1" thickBot="1" x14ac:dyDescent="0.3">
      <c r="B104" s="74"/>
      <c r="C104" s="75"/>
      <c r="D104" s="61"/>
      <c r="E104" s="88"/>
    </row>
    <row r="105" spans="2:5" ht="30" customHeight="1" thickBot="1" x14ac:dyDescent="0.3">
      <c r="B105" s="36" t="str">
        <f>'Financial Inputs'!E38</f>
        <v>Financing Costs</v>
      </c>
      <c r="C105" s="69" t="s">
        <v>0</v>
      </c>
      <c r="D105" s="70" t="s">
        <v>59</v>
      </c>
      <c r="E105" s="60" t="s">
        <v>96</v>
      </c>
    </row>
    <row r="106" spans="2:5" ht="15.75" customHeight="1" x14ac:dyDescent="0.25">
      <c r="B106" s="66" t="s">
        <v>105</v>
      </c>
      <c r="C106" s="67">
        <f>((C26+C51+C76+C101)*'Financial Inputs'!$P$82*'Financial Inputs'!$G$28)</f>
        <v>0</v>
      </c>
      <c r="D106" s="101">
        <v>0</v>
      </c>
      <c r="E106" s="199" t="s">
        <v>17</v>
      </c>
    </row>
    <row r="107" spans="2:5" ht="15.75" customHeight="1" x14ac:dyDescent="0.25">
      <c r="B107" s="40" t="s">
        <v>24</v>
      </c>
      <c r="C107" s="90">
        <f>(C26+C51+C76+C101)*('Financial Inputs'!$G$21/12)*('Financial Inputs'!$G$20/2)</f>
        <v>0</v>
      </c>
      <c r="D107" s="101">
        <v>0</v>
      </c>
      <c r="E107" s="199" t="s">
        <v>16</v>
      </c>
    </row>
    <row r="108" spans="2:5" ht="15.75" customHeight="1" x14ac:dyDescent="0.25">
      <c r="B108" s="5" t="s">
        <v>25</v>
      </c>
      <c r="C108" s="90">
        <f>'Financial Inputs'!$G$30</f>
        <v>0</v>
      </c>
      <c r="D108" s="101">
        <v>0</v>
      </c>
      <c r="E108" s="199" t="s">
        <v>16</v>
      </c>
    </row>
    <row r="109" spans="2:5" ht="15.75" customHeight="1" thickBot="1" x14ac:dyDescent="0.3">
      <c r="B109" s="91" t="s">
        <v>106</v>
      </c>
      <c r="C109" s="92" t="e">
        <f>'Financial Inputs'!#REF!+'Financial Inputs'!#REF!</f>
        <v>#REF!</v>
      </c>
      <c r="D109" s="106">
        <v>0</v>
      </c>
      <c r="E109" s="199" t="s">
        <v>17</v>
      </c>
    </row>
    <row r="110" spans="2:5" ht="30.75" customHeight="1" thickTop="1" x14ac:dyDescent="0.25">
      <c r="B110" s="82" t="s">
        <v>82</v>
      </c>
      <c r="C110" s="67" t="e">
        <f>SUM(C106:C109)</f>
        <v>#REF!</v>
      </c>
      <c r="D110" s="46" t="e">
        <f>SUMPRODUCT(C106:C109,D106:D109)/C110</f>
        <v>#REF!</v>
      </c>
      <c r="E110" s="59"/>
    </row>
    <row r="111" spans="2:5" ht="15.75" customHeight="1" x14ac:dyDescent="0.25">
      <c r="B111" s="71"/>
      <c r="C111" s="89"/>
      <c r="D111" s="72"/>
      <c r="E111" s="73"/>
    </row>
    <row r="112" spans="2:5" ht="30" customHeight="1" x14ac:dyDescent="0.25">
      <c r="B112" s="43" t="s">
        <v>61</v>
      </c>
      <c r="C112" s="89"/>
      <c r="D112" s="72"/>
      <c r="E112" s="73"/>
    </row>
    <row r="113" spans="2:14" ht="15.75" customHeight="1" thickBot="1" x14ac:dyDescent="0.3">
      <c r="B113" s="71"/>
      <c r="C113" s="89"/>
      <c r="D113" s="72"/>
      <c r="E113" s="73"/>
    </row>
    <row r="114" spans="2:14" ht="16.5" thickBot="1" x14ac:dyDescent="0.3">
      <c r="B114" s="36" t="s">
        <v>101</v>
      </c>
      <c r="C114" s="37"/>
      <c r="D114" s="37"/>
      <c r="E114" s="62" t="s">
        <v>58</v>
      </c>
      <c r="F114" s="63"/>
      <c r="G114" s="63"/>
      <c r="H114" s="63"/>
      <c r="I114" s="63"/>
      <c r="J114" s="63"/>
      <c r="K114" s="63"/>
      <c r="L114" s="63"/>
      <c r="M114" s="63"/>
      <c r="N114" s="64"/>
    </row>
    <row r="115" spans="2:14" ht="45.75" thickBot="1" x14ac:dyDescent="0.3">
      <c r="B115" s="79" t="s">
        <v>18</v>
      </c>
      <c r="C115" s="69" t="s">
        <v>0</v>
      </c>
      <c r="D115" s="70" t="s">
        <v>104</v>
      </c>
      <c r="E115" s="70" t="s">
        <v>18</v>
      </c>
      <c r="F115" s="70" t="s">
        <v>13</v>
      </c>
      <c r="G115" s="70" t="s">
        <v>76</v>
      </c>
      <c r="H115" s="70" t="s">
        <v>14</v>
      </c>
      <c r="I115" s="70" t="s">
        <v>77</v>
      </c>
      <c r="J115" s="70" t="s">
        <v>78</v>
      </c>
      <c r="K115" s="70" t="s">
        <v>15</v>
      </c>
      <c r="L115" s="70" t="s">
        <v>16</v>
      </c>
      <c r="M115" s="70" t="s">
        <v>79</v>
      </c>
      <c r="N115" s="100" t="s">
        <v>17</v>
      </c>
    </row>
    <row r="116" spans="2:14" ht="15.75" customHeight="1" x14ac:dyDescent="0.25">
      <c r="B116" s="82" t="s">
        <v>95</v>
      </c>
      <c r="C116" s="85">
        <f>C26</f>
        <v>0</v>
      </c>
      <c r="D116" s="98" t="e">
        <f>C26*D26</f>
        <v>#DIV/0!</v>
      </c>
      <c r="E116" s="99" t="s">
        <v>95</v>
      </c>
      <c r="F116" s="85">
        <f>SUMIF($E$5:$E$26,F$115,$C$5:$C$26)</f>
        <v>0</v>
      </c>
      <c r="G116" s="85">
        <f t="shared" ref="G116:N116" si="0">SUMIF($E$5:$E$26,G$115,$C$5:$C$26)</f>
        <v>0</v>
      </c>
      <c r="H116" s="85">
        <f t="shared" si="0"/>
        <v>0</v>
      </c>
      <c r="I116" s="85">
        <f t="shared" si="0"/>
        <v>0</v>
      </c>
      <c r="J116" s="85">
        <f t="shared" si="0"/>
        <v>0</v>
      </c>
      <c r="K116" s="85">
        <f t="shared" si="0"/>
        <v>0</v>
      </c>
      <c r="L116" s="85">
        <f t="shared" si="0"/>
        <v>0</v>
      </c>
      <c r="M116" s="85">
        <f t="shared" si="0"/>
        <v>0</v>
      </c>
      <c r="N116" s="85">
        <f t="shared" si="0"/>
        <v>0</v>
      </c>
    </row>
    <row r="117" spans="2:14" ht="15.75" customHeight="1" x14ac:dyDescent="0.25">
      <c r="B117" s="41" t="s">
        <v>97</v>
      </c>
      <c r="C117" s="80">
        <f>C51</f>
        <v>0</v>
      </c>
      <c r="D117" s="87" t="e">
        <f>C51*D51</f>
        <v>#DIV/0!</v>
      </c>
      <c r="E117" s="96" t="s">
        <v>97</v>
      </c>
      <c r="F117" s="80">
        <f>SUMIF($E$30:$E$51,F$115,$C$30:$C$51)</f>
        <v>0</v>
      </c>
      <c r="G117" s="80">
        <f t="shared" ref="G117:N117" si="1">SUMIF($E$30:$E$51,G$115,$C$30:$C$51)</f>
        <v>0</v>
      </c>
      <c r="H117" s="80">
        <f t="shared" si="1"/>
        <v>0</v>
      </c>
      <c r="I117" s="80">
        <f t="shared" si="1"/>
        <v>0</v>
      </c>
      <c r="J117" s="80">
        <f t="shared" si="1"/>
        <v>0</v>
      </c>
      <c r="K117" s="80">
        <f t="shared" si="1"/>
        <v>0</v>
      </c>
      <c r="L117" s="80">
        <f t="shared" si="1"/>
        <v>0</v>
      </c>
      <c r="M117" s="80">
        <f t="shared" si="1"/>
        <v>0</v>
      </c>
      <c r="N117" s="80">
        <f t="shared" si="1"/>
        <v>0</v>
      </c>
    </row>
    <row r="118" spans="2:14" ht="15.75" customHeight="1" x14ac:dyDescent="0.25">
      <c r="B118" s="41" t="s">
        <v>98</v>
      </c>
      <c r="C118" s="80">
        <f>C76</f>
        <v>0</v>
      </c>
      <c r="D118" s="87" t="e">
        <f>C76*D76</f>
        <v>#DIV/0!</v>
      </c>
      <c r="E118" s="96" t="s">
        <v>98</v>
      </c>
      <c r="F118" s="80">
        <f>SUMIF($E$55:$E$76,F$115,$C$55:$C$76)</f>
        <v>0</v>
      </c>
      <c r="G118" s="80">
        <f t="shared" ref="G118:N118" si="2">SUMIF($E$55:$E$76,G$115,$C$55:$C$76)</f>
        <v>0</v>
      </c>
      <c r="H118" s="80">
        <f t="shared" si="2"/>
        <v>0</v>
      </c>
      <c r="I118" s="80">
        <f t="shared" si="2"/>
        <v>0</v>
      </c>
      <c r="J118" s="80">
        <f t="shared" si="2"/>
        <v>0</v>
      </c>
      <c r="K118" s="80">
        <f t="shared" si="2"/>
        <v>0</v>
      </c>
      <c r="L118" s="80">
        <f t="shared" si="2"/>
        <v>0</v>
      </c>
      <c r="M118" s="80">
        <f t="shared" si="2"/>
        <v>0</v>
      </c>
      <c r="N118" s="80">
        <f t="shared" si="2"/>
        <v>0</v>
      </c>
    </row>
    <row r="119" spans="2:14" ht="15.75" customHeight="1" x14ac:dyDescent="0.25">
      <c r="B119" s="41" t="s">
        <v>99</v>
      </c>
      <c r="C119" s="80">
        <f>C101</f>
        <v>0</v>
      </c>
      <c r="D119" s="87" t="e">
        <f>C101*D101</f>
        <v>#DIV/0!</v>
      </c>
      <c r="E119" s="96" t="s">
        <v>99</v>
      </c>
      <c r="F119" s="80">
        <f>SUMIF($E$80:$E$101,F$115,$C$80:$C$101)</f>
        <v>0</v>
      </c>
      <c r="G119" s="80">
        <f t="shared" ref="G119:N119" si="3">SUMIF($E$80:$E$101,G$115,$C$80:$C$101)</f>
        <v>0</v>
      </c>
      <c r="H119" s="80">
        <f t="shared" si="3"/>
        <v>0</v>
      </c>
      <c r="I119" s="80">
        <f t="shared" si="3"/>
        <v>0</v>
      </c>
      <c r="J119" s="80">
        <f t="shared" si="3"/>
        <v>0</v>
      </c>
      <c r="K119" s="80">
        <f t="shared" si="3"/>
        <v>0</v>
      </c>
      <c r="L119" s="80">
        <f t="shared" si="3"/>
        <v>0</v>
      </c>
      <c r="M119" s="80">
        <f t="shared" si="3"/>
        <v>0</v>
      </c>
      <c r="N119" s="80">
        <f t="shared" si="3"/>
        <v>0</v>
      </c>
    </row>
    <row r="120" spans="2:14" ht="15.75" customHeight="1" thickBot="1" x14ac:dyDescent="0.3">
      <c r="B120" s="83" t="s">
        <v>62</v>
      </c>
      <c r="C120" s="84" t="e">
        <f>C110</f>
        <v>#REF!</v>
      </c>
      <c r="D120" s="93" t="e">
        <f>C110*D110</f>
        <v>#REF!</v>
      </c>
      <c r="E120" s="97" t="s">
        <v>62</v>
      </c>
      <c r="F120" s="95">
        <f>SUMIF($E$105:$E$110,F$115,$C$105:$C$110)</f>
        <v>0</v>
      </c>
      <c r="G120" s="95">
        <f t="shared" ref="G120:N120" si="4">SUMIF($E$105:$E$110,G$115,$C$105:$C$110)</f>
        <v>0</v>
      </c>
      <c r="H120" s="95">
        <f t="shared" si="4"/>
        <v>0</v>
      </c>
      <c r="I120" s="95">
        <f t="shared" si="4"/>
        <v>0</v>
      </c>
      <c r="J120" s="95">
        <f t="shared" si="4"/>
        <v>0</v>
      </c>
      <c r="K120" s="95">
        <f t="shared" si="4"/>
        <v>0</v>
      </c>
      <c r="L120" s="95">
        <f t="shared" si="4"/>
        <v>0</v>
      </c>
      <c r="M120" s="95">
        <f t="shared" si="4"/>
        <v>0</v>
      </c>
      <c r="N120" s="95" t="e">
        <f t="shared" si="4"/>
        <v>#REF!</v>
      </c>
    </row>
    <row r="121" spans="2:14" ht="30" customHeight="1" thickTop="1" x14ac:dyDescent="0.25">
      <c r="B121" s="81" t="s">
        <v>82</v>
      </c>
      <c r="C121" s="86" t="e">
        <f>SUM(C116:C120)</f>
        <v>#REF!</v>
      </c>
      <c r="D121" s="86" t="e">
        <f>SUM(D116:D120)</f>
        <v>#DIV/0!</v>
      </c>
      <c r="E121" s="41"/>
      <c r="F121" s="86">
        <f>SUM(F116:F120)</f>
        <v>0</v>
      </c>
      <c r="G121" s="86">
        <f t="shared" ref="G121:N121" si="5">SUM(G116:G120)</f>
        <v>0</v>
      </c>
      <c r="H121" s="86">
        <f t="shared" si="5"/>
        <v>0</v>
      </c>
      <c r="I121" s="86">
        <f t="shared" si="5"/>
        <v>0</v>
      </c>
      <c r="J121" s="86">
        <f t="shared" si="5"/>
        <v>0</v>
      </c>
      <c r="K121" s="86">
        <f t="shared" si="5"/>
        <v>0</v>
      </c>
      <c r="L121" s="86">
        <f t="shared" si="5"/>
        <v>0</v>
      </c>
      <c r="M121" s="86">
        <f t="shared" si="5"/>
        <v>0</v>
      </c>
      <c r="N121" s="86" t="e">
        <f t="shared" si="5"/>
        <v>#REF!</v>
      </c>
    </row>
    <row r="123" spans="2:14" ht="15.75" x14ac:dyDescent="0.25">
      <c r="B123" s="154" t="s">
        <v>114</v>
      </c>
      <c r="C123" s="155" t="str">
        <f>'Financial Inputs'!P11</f>
        <v>Yes</v>
      </c>
    </row>
    <row r="124" spans="2:14" ht="15.75" thickBot="1" x14ac:dyDescent="0.3">
      <c r="B124" s="207"/>
      <c r="C124" s="207"/>
      <c r="D124" s="207"/>
      <c r="E124" s="207"/>
      <c r="F124" s="207"/>
      <c r="G124" s="207"/>
      <c r="H124" s="207"/>
      <c r="I124" s="207"/>
      <c r="J124" s="207"/>
      <c r="K124" s="207"/>
      <c r="L124" s="207"/>
      <c r="M124" s="207"/>
      <c r="N124" s="207"/>
    </row>
    <row r="125" spans="2:14" ht="15.75" thickBot="1" x14ac:dyDescent="0.3">
      <c r="D125" s="198"/>
      <c r="E125" s="198"/>
    </row>
    <row r="126" spans="2:14" ht="30" customHeight="1" thickBot="1" x14ac:dyDescent="0.3">
      <c r="B126" s="1011" t="s">
        <v>121</v>
      </c>
      <c r="C126" s="1012"/>
      <c r="D126" s="1012"/>
      <c r="E126" s="1013"/>
    </row>
    <row r="127" spans="2:14" ht="15.75" thickBot="1" x14ac:dyDescent="0.3"/>
    <row r="128" spans="2:14" ht="60.75" thickBot="1" x14ac:dyDescent="0.3">
      <c r="C128" s="204" t="s">
        <v>142</v>
      </c>
      <c r="D128" s="205" t="s">
        <v>143</v>
      </c>
    </row>
    <row r="129" spans="3:6" ht="15.75" x14ac:dyDescent="0.25">
      <c r="C129" s="283">
        <f>'Detailed Cash Flow'!G2</f>
        <v>1</v>
      </c>
      <c r="D129" s="284">
        <v>5</v>
      </c>
      <c r="F129" s="229"/>
    </row>
    <row r="130" spans="3:6" ht="15.75" x14ac:dyDescent="0.25">
      <c r="C130" s="285">
        <f>C129+1</f>
        <v>2</v>
      </c>
      <c r="D130" s="286">
        <v>5.0999999999999996</v>
      </c>
      <c r="F130" s="229"/>
    </row>
    <row r="131" spans="3:6" ht="15.75" x14ac:dyDescent="0.25">
      <c r="C131" s="285">
        <f t="shared" ref="C131:C158" si="6">C130+1</f>
        <v>3</v>
      </c>
      <c r="D131" s="286">
        <v>5.202</v>
      </c>
      <c r="F131" s="229"/>
    </row>
    <row r="132" spans="3:6" ht="15.75" x14ac:dyDescent="0.25">
      <c r="C132" s="285">
        <f t="shared" si="6"/>
        <v>4</v>
      </c>
      <c r="D132" s="286">
        <v>5.3060400000000003</v>
      </c>
      <c r="F132" s="229"/>
    </row>
    <row r="133" spans="3:6" ht="15.75" x14ac:dyDescent="0.25">
      <c r="C133" s="285">
        <f t="shared" si="6"/>
        <v>5</v>
      </c>
      <c r="D133" s="286">
        <v>5.4121608000000005</v>
      </c>
      <c r="F133" s="229"/>
    </row>
    <row r="134" spans="3:6" ht="15.75" x14ac:dyDescent="0.25">
      <c r="C134" s="285">
        <f t="shared" si="6"/>
        <v>6</v>
      </c>
      <c r="D134" s="286">
        <v>5.5204040160000005</v>
      </c>
      <c r="F134" s="229"/>
    </row>
    <row r="135" spans="3:6" ht="15.75" x14ac:dyDescent="0.25">
      <c r="C135" s="285">
        <f t="shared" si="6"/>
        <v>7</v>
      </c>
      <c r="D135" s="286">
        <v>5.6308120963200006</v>
      </c>
      <c r="F135" s="229"/>
    </row>
    <row r="136" spans="3:6" ht="15.75" x14ac:dyDescent="0.25">
      <c r="C136" s="285">
        <f t="shared" si="6"/>
        <v>8</v>
      </c>
      <c r="D136" s="286">
        <v>5.7434283382464004</v>
      </c>
      <c r="E136" s="94"/>
      <c r="F136" s="229"/>
    </row>
    <row r="137" spans="3:6" ht="15.75" x14ac:dyDescent="0.25">
      <c r="C137" s="285">
        <f t="shared" si="6"/>
        <v>9</v>
      </c>
      <c r="D137" s="286">
        <v>5.8582969050113283</v>
      </c>
      <c r="E137" s="13"/>
      <c r="F137" s="229"/>
    </row>
    <row r="138" spans="3:6" ht="15.75" x14ac:dyDescent="0.25">
      <c r="C138" s="285">
        <f t="shared" si="6"/>
        <v>10</v>
      </c>
      <c r="D138" s="286">
        <v>5.9754628431115551</v>
      </c>
      <c r="E138" s="13"/>
      <c r="F138" s="229"/>
    </row>
    <row r="139" spans="3:6" ht="15.75" x14ac:dyDescent="0.25">
      <c r="C139" s="285">
        <f t="shared" si="6"/>
        <v>11</v>
      </c>
      <c r="D139" s="286">
        <v>6.094972099973786</v>
      </c>
      <c r="E139" s="13"/>
      <c r="F139" s="229"/>
    </row>
    <row r="140" spans="3:6" ht="15.75" x14ac:dyDescent="0.25">
      <c r="C140" s="285">
        <f t="shared" si="6"/>
        <v>12</v>
      </c>
      <c r="D140" s="286">
        <v>6.2168715419732621</v>
      </c>
      <c r="E140" s="13"/>
      <c r="F140" s="229"/>
    </row>
    <row r="141" spans="3:6" ht="15.75" x14ac:dyDescent="0.25">
      <c r="C141" s="285">
        <f t="shared" si="6"/>
        <v>13</v>
      </c>
      <c r="D141" s="286">
        <v>6.3412089728127281</v>
      </c>
      <c r="E141" s="13"/>
      <c r="F141" s="229"/>
    </row>
    <row r="142" spans="3:6" ht="15.75" x14ac:dyDescent="0.25">
      <c r="C142" s="285">
        <f t="shared" si="6"/>
        <v>14</v>
      </c>
      <c r="D142" s="286">
        <v>6.4680331522689825</v>
      </c>
      <c r="E142" s="13"/>
      <c r="F142" s="229"/>
    </row>
    <row r="143" spans="3:6" ht="15.75" x14ac:dyDescent="0.25">
      <c r="C143" s="285">
        <f t="shared" si="6"/>
        <v>15</v>
      </c>
      <c r="D143" s="286">
        <v>6.5973938153143621</v>
      </c>
      <c r="E143" s="13"/>
      <c r="F143" s="229"/>
    </row>
    <row r="144" spans="3:6" ht="15.75" x14ac:dyDescent="0.25">
      <c r="C144" s="285">
        <f t="shared" si="6"/>
        <v>16</v>
      </c>
      <c r="D144" s="286">
        <v>6.7293416916206494</v>
      </c>
      <c r="E144" s="13"/>
      <c r="F144" s="229"/>
    </row>
    <row r="145" spans="3:6" ht="15.75" x14ac:dyDescent="0.25">
      <c r="C145" s="285">
        <f t="shared" si="6"/>
        <v>17</v>
      </c>
      <c r="D145" s="286">
        <v>6.8639285254530638</v>
      </c>
      <c r="E145" s="13"/>
      <c r="F145" s="229"/>
    </row>
    <row r="146" spans="3:6" ht="15.75" x14ac:dyDescent="0.25">
      <c r="C146" s="285">
        <f t="shared" si="6"/>
        <v>18</v>
      </c>
      <c r="D146" s="286">
        <v>7.0012070959621253</v>
      </c>
      <c r="F146" s="229"/>
    </row>
    <row r="147" spans="3:6" ht="15.75" x14ac:dyDescent="0.25">
      <c r="C147" s="285">
        <f t="shared" si="6"/>
        <v>19</v>
      </c>
      <c r="D147" s="286">
        <v>7.1412312378813683</v>
      </c>
      <c r="F147" s="229"/>
    </row>
    <row r="148" spans="3:6" ht="15.75" x14ac:dyDescent="0.25">
      <c r="C148" s="285">
        <f t="shared" si="6"/>
        <v>20</v>
      </c>
      <c r="D148" s="286">
        <v>7.2840558626389953</v>
      </c>
      <c r="F148" s="229"/>
    </row>
    <row r="149" spans="3:6" ht="15.75" x14ac:dyDescent="0.25">
      <c r="C149" s="285">
        <f t="shared" si="6"/>
        <v>21</v>
      </c>
      <c r="D149" s="286">
        <v>7.4297369798917758</v>
      </c>
      <c r="F149" s="229"/>
    </row>
    <row r="150" spans="3:6" ht="15.75" x14ac:dyDescent="0.25">
      <c r="C150" s="285">
        <f t="shared" si="6"/>
        <v>22</v>
      </c>
      <c r="D150" s="286">
        <v>7.5783317194896114</v>
      </c>
      <c r="F150" s="229"/>
    </row>
    <row r="151" spans="3:6" ht="15.75" x14ac:dyDescent="0.25">
      <c r="C151" s="285">
        <f t="shared" si="6"/>
        <v>23</v>
      </c>
      <c r="D151" s="286">
        <v>7.7298983538794035</v>
      </c>
      <c r="F151" s="229"/>
    </row>
    <row r="152" spans="3:6" ht="15.75" x14ac:dyDescent="0.25">
      <c r="C152" s="285">
        <f t="shared" si="6"/>
        <v>24</v>
      </c>
      <c r="D152" s="286">
        <v>7.8844963209569912</v>
      </c>
      <c r="F152" s="229"/>
    </row>
    <row r="153" spans="3:6" ht="15.75" x14ac:dyDescent="0.25">
      <c r="C153" s="285">
        <f t="shared" si="6"/>
        <v>25</v>
      </c>
      <c r="D153" s="286">
        <v>8.0421862473761312</v>
      </c>
      <c r="F153" s="229"/>
    </row>
    <row r="154" spans="3:6" ht="15.75" x14ac:dyDescent="0.25">
      <c r="C154" s="285">
        <f t="shared" si="6"/>
        <v>26</v>
      </c>
      <c r="D154" s="286">
        <v>8.2030299723236535</v>
      </c>
      <c r="F154" s="229"/>
    </row>
    <row r="155" spans="3:6" ht="15.75" x14ac:dyDescent="0.25">
      <c r="C155" s="285">
        <f t="shared" si="6"/>
        <v>27</v>
      </c>
      <c r="D155" s="286">
        <v>8.3670905717701274</v>
      </c>
      <c r="F155" s="229"/>
    </row>
    <row r="156" spans="3:6" ht="15.75" x14ac:dyDescent="0.25">
      <c r="C156" s="285">
        <f t="shared" si="6"/>
        <v>28</v>
      </c>
      <c r="D156" s="286">
        <v>8.5344323832055302</v>
      </c>
      <c r="F156" s="229"/>
    </row>
    <row r="157" spans="3:6" ht="15.75" x14ac:dyDescent="0.25">
      <c r="C157" s="285">
        <f t="shared" si="6"/>
        <v>29</v>
      </c>
      <c r="D157" s="286">
        <v>8.7051210308696394</v>
      </c>
      <c r="F157" s="229"/>
    </row>
    <row r="158" spans="3:6" ht="15.75" x14ac:dyDescent="0.25">
      <c r="C158" s="285">
        <f t="shared" si="6"/>
        <v>30</v>
      </c>
      <c r="D158" s="286">
        <v>8.8792234514870323</v>
      </c>
      <c r="F158" s="229"/>
    </row>
    <row r="159" spans="3:6" ht="30" customHeight="1" x14ac:dyDescent="0.25">
      <c r="C159" s="1014" t="s">
        <v>123</v>
      </c>
      <c r="D159" s="1015"/>
    </row>
  </sheetData>
  <sheetProtection sheet="1" objects="1" scenarios="1"/>
  <protectedRanges>
    <protectedRange sqref="D129:D158" name="Market Value"/>
    <protectedRange sqref="B6:E25 B31:E50 B56:E75 B81:E100 D106:E109" name="Complex Inputs"/>
  </protectedRanges>
  <mergeCells count="2">
    <mergeCell ref="B126:E126"/>
    <mergeCell ref="C159:D159"/>
  </mergeCells>
  <conditionalFormatting sqref="B108">
    <cfRule type="expression" dxfId="94" priority="5">
      <formula>#REF!="100% Equity"</formula>
    </cfRule>
    <cfRule type="expression" dxfId="93" priority="6">
      <formula>#REF!="(use dropdown)"</formula>
    </cfRule>
  </conditionalFormatting>
  <conditionalFormatting sqref="D6:E26 D31:E51 D56:E76 D81:E101 D106:E110 D116:N121">
    <cfRule type="expression" dxfId="92" priority="1">
      <formula>$C$123="No"</formula>
    </cfRule>
  </conditionalFormatting>
  <dataValidations count="1">
    <dataValidation type="list" allowBlank="1" showInputMessage="1" showErrorMessage="1" sqref="E6:E25 E31:E50 E106:E109 E56:E75 E81:E100" xr:uid="{00000000-0002-0000-0500-000000000000}">
      <formula1>$F$115:$N$115</formula1>
    </dataValidation>
  </dataValidations>
  <hyperlinks>
    <hyperlink ref="B53" location="Inputs!A1" display="Click Here to Return to Inputs Worksheet" xr:uid="{00000000-0004-0000-0500-000000000000}"/>
    <hyperlink ref="B78" location="Inputs!A1" display="Click Here to Return to Inputs Worksheet" xr:uid="{00000000-0004-0000-0500-000001000000}"/>
    <hyperlink ref="B28" location="'Detailed Inputs'!A1" display="Click Here to Return to Inputs Worksheet" xr:uid="{00000000-0004-0000-0500-000002000000}"/>
    <hyperlink ref="B103" location="Inputs!A1" display="Click Here to Return to Inputs Worksheet" xr:uid="{00000000-0004-0000-0500-000003000000}"/>
    <hyperlink ref="B112" location="Inputs!A1" display="Click Here to Return to Inputs Worksheet" xr:uid="{00000000-0004-0000-0500-000004000000}"/>
  </hyperlinks>
  <pageMargins left="0.7" right="0.7" top="0.75" bottom="0.75" header="0.3" footer="0.3"/>
  <pageSetup orientation="portrait" horizontalDpi="4294967293"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FFFF00"/>
  </sheetPr>
  <dimension ref="A1:AG246"/>
  <sheetViews>
    <sheetView workbookViewId="0"/>
  </sheetViews>
  <sheetFormatPr defaultColWidth="9.140625" defaultRowHeight="15" x14ac:dyDescent="0.2"/>
  <cols>
    <col min="1" max="2" width="3.7109375" style="1" customWidth="1"/>
    <col min="3" max="3" width="7.7109375" style="1" customWidth="1"/>
    <col min="4" max="4" width="1.5703125" style="1" customWidth="1"/>
    <col min="5" max="5" width="59.85546875" style="1" customWidth="1"/>
    <col min="6" max="6" width="18.42578125" style="1" customWidth="1"/>
    <col min="7" max="7" width="23" style="1" bestFit="1" customWidth="1"/>
    <col min="8" max="8" width="10.28515625" style="1" customWidth="1"/>
    <col min="9" max="9" width="13.140625" style="1" customWidth="1"/>
    <col min="10" max="10" width="1.85546875" style="1" customWidth="1"/>
    <col min="11" max="11" width="1.140625" style="1" customWidth="1"/>
    <col min="12" max="12" width="7.7109375" style="1" customWidth="1"/>
    <col min="13" max="13" width="1" style="1" customWidth="1"/>
    <col min="14" max="14" width="58" style="1" customWidth="1"/>
    <col min="15" max="15" width="21" style="1" customWidth="1"/>
    <col min="16" max="16" width="18" style="1" customWidth="1"/>
    <col min="17" max="17" width="12.42578125" style="1" customWidth="1"/>
    <col min="18" max="18" width="14.42578125" style="1" customWidth="1"/>
    <col min="19" max="19" width="13.7109375" style="1" customWidth="1"/>
    <col min="20" max="20" width="11.5703125" style="1" customWidth="1"/>
    <col min="21" max="21" width="16.140625" style="1" customWidth="1"/>
    <col min="22" max="22" width="14.7109375" style="1" customWidth="1"/>
    <col min="23" max="23" width="16.28515625" style="1" customWidth="1"/>
    <col min="24" max="24" width="14.7109375" style="1" customWidth="1"/>
    <col min="25" max="25" width="14.42578125" style="1" customWidth="1"/>
    <col min="26" max="33" width="15.28515625" style="1" customWidth="1"/>
    <col min="34" max="16384" width="9.140625" style="1"/>
  </cols>
  <sheetData>
    <row r="1" spans="2:32" ht="7.5" customHeight="1" thickBot="1" x14ac:dyDescent="0.25">
      <c r="B1" s="30"/>
    </row>
    <row r="2" spans="2:32" s="209" customFormat="1" ht="30" customHeight="1" thickBot="1" x14ac:dyDescent="0.3">
      <c r="B2" s="292"/>
      <c r="C2" s="1019" t="s">
        <v>344</v>
      </c>
      <c r="D2" s="1019"/>
      <c r="E2" s="1019"/>
      <c r="F2" s="1019"/>
      <c r="G2" s="1019"/>
      <c r="H2" s="1019"/>
      <c r="I2" s="1019"/>
      <c r="J2" s="1019"/>
      <c r="K2" s="1020"/>
      <c r="L2" s="1020"/>
      <c r="M2" s="1020"/>
      <c r="N2" s="1020"/>
      <c r="O2" s="1020"/>
      <c r="P2" s="1020"/>
      <c r="Q2" s="1020"/>
      <c r="R2" s="1020"/>
      <c r="S2" s="1020"/>
      <c r="T2" s="245"/>
      <c r="U2" s="246"/>
      <c r="V2" s="246"/>
      <c r="W2" s="246"/>
      <c r="X2" s="246"/>
      <c r="Y2" s="246"/>
      <c r="Z2" s="246"/>
      <c r="AA2" s="246"/>
      <c r="AB2" s="246"/>
      <c r="AC2" s="246"/>
      <c r="AD2" s="246"/>
      <c r="AE2" s="246"/>
      <c r="AF2" s="247"/>
    </row>
    <row r="3" spans="2:32" ht="7.5" customHeight="1" x14ac:dyDescent="0.25">
      <c r="B3" s="8"/>
      <c r="C3" s="221"/>
      <c r="D3" s="221"/>
      <c r="E3" s="221"/>
      <c r="F3" s="221"/>
      <c r="G3" s="221"/>
      <c r="H3" s="221"/>
      <c r="I3" s="221"/>
      <c r="J3" s="220"/>
      <c r="K3" s="220"/>
      <c r="L3" s="221"/>
      <c r="M3" s="221"/>
      <c r="N3" s="221"/>
      <c r="O3" s="221"/>
      <c r="P3" s="221"/>
      <c r="Q3" s="221"/>
      <c r="R3" s="221"/>
      <c r="S3" s="221"/>
      <c r="T3" s="221"/>
      <c r="U3" s="222"/>
      <c r="V3" s="222"/>
      <c r="W3" s="222"/>
      <c r="X3" s="222"/>
      <c r="Y3" s="222"/>
      <c r="Z3" s="222"/>
      <c r="AA3" s="222"/>
      <c r="AB3" s="222"/>
      <c r="AC3" s="222"/>
      <c r="AD3" s="222"/>
      <c r="AE3" s="222"/>
      <c r="AF3" s="227"/>
    </row>
    <row r="4" spans="2:32" ht="19.5" thickBot="1" x14ac:dyDescent="0.35">
      <c r="B4" s="8"/>
      <c r="C4" s="287" t="s">
        <v>12</v>
      </c>
      <c r="D4" s="11"/>
      <c r="E4" s="452" t="s">
        <v>353</v>
      </c>
      <c r="F4" s="12"/>
      <c r="G4" s="480"/>
      <c r="H4" s="293" t="s">
        <v>11</v>
      </c>
      <c r="J4" s="804"/>
      <c r="K4" s="12"/>
      <c r="L4" s="287" t="s">
        <v>12</v>
      </c>
      <c r="M4" s="12"/>
      <c r="Q4" s="12"/>
      <c r="AF4" s="208"/>
    </row>
    <row r="5" spans="2:32" ht="16.5" thickBot="1" x14ac:dyDescent="0.3">
      <c r="C5"/>
      <c r="D5"/>
      <c r="E5" s="616" t="s">
        <v>554</v>
      </c>
      <c r="F5" s="108"/>
      <c r="G5" s="793" t="s">
        <v>728</v>
      </c>
      <c r="H5" s="108"/>
      <c r="I5" s="108"/>
      <c r="J5" s="805"/>
      <c r="K5" s="108"/>
      <c r="N5" s="3" t="s">
        <v>804</v>
      </c>
      <c r="O5" s="252"/>
      <c r="P5" s="291"/>
      <c r="Q5" s="225"/>
      <c r="AF5" s="208"/>
    </row>
    <row r="6" spans="2:32" ht="18.75" thickBot="1" x14ac:dyDescent="0.3">
      <c r="C6"/>
      <c r="D6"/>
      <c r="E6" s="6" t="s">
        <v>94</v>
      </c>
      <c r="F6" s="252" t="s">
        <v>161</v>
      </c>
      <c r="G6" s="291" t="s">
        <v>181</v>
      </c>
      <c r="H6" s="617" t="s">
        <v>11</v>
      </c>
      <c r="J6" s="806"/>
      <c r="N6" s="1" t="s">
        <v>729</v>
      </c>
      <c r="O6" s="623" t="s">
        <v>357</v>
      </c>
      <c r="P6" s="796">
        <v>0</v>
      </c>
      <c r="Q6" s="9" t="s">
        <v>6</v>
      </c>
      <c r="R6" s="436"/>
      <c r="S6" s="436"/>
      <c r="T6" s="436"/>
      <c r="U6" s="287" t="s">
        <v>11</v>
      </c>
      <c r="V6" s="11"/>
      <c r="X6" s="222"/>
      <c r="AF6" s="208"/>
    </row>
    <row r="7" spans="2:32" ht="15.75" x14ac:dyDescent="0.25">
      <c r="C7" s="731"/>
      <c r="D7"/>
      <c r="E7" s="821" t="s">
        <v>738</v>
      </c>
      <c r="F7" s="853" t="s">
        <v>0</v>
      </c>
      <c r="G7" s="741">
        <f>'Key inputs &amp; Outputs'!F11</f>
        <v>10000</v>
      </c>
      <c r="H7" s="625"/>
      <c r="J7" s="806"/>
      <c r="N7" s="1" t="s">
        <v>806</v>
      </c>
      <c r="O7" s="623" t="s">
        <v>357</v>
      </c>
      <c r="P7" s="796">
        <v>0.02</v>
      </c>
      <c r="Q7" s="619" t="s">
        <v>6</v>
      </c>
      <c r="R7" s="436"/>
      <c r="S7" s="436"/>
      <c r="T7" s="436"/>
      <c r="U7" s="449" t="s">
        <v>348</v>
      </c>
      <c r="V7" s="222"/>
      <c r="W7" s="222"/>
      <c r="AF7" s="208"/>
    </row>
    <row r="8" spans="2:32" ht="15.75" x14ac:dyDescent="0.25">
      <c r="J8" s="806"/>
      <c r="N8" s="1" t="s">
        <v>805</v>
      </c>
      <c r="O8" s="623" t="s">
        <v>357</v>
      </c>
      <c r="P8" s="796">
        <v>0.02</v>
      </c>
      <c r="Q8" s="9" t="s">
        <v>6</v>
      </c>
      <c r="R8" s="436"/>
      <c r="S8" s="436"/>
      <c r="T8" s="436"/>
      <c r="U8" s="1" t="s">
        <v>345</v>
      </c>
      <c r="W8" s="447"/>
      <c r="AF8" s="208"/>
    </row>
    <row r="9" spans="2:32" ht="16.5" thickBot="1" x14ac:dyDescent="0.3">
      <c r="C9" s="271"/>
      <c r="D9" s="1">
        <f>IF(OR(G9&lt;1,G9&gt;30),1,0)</f>
        <v>0</v>
      </c>
      <c r="E9" s="214" t="s">
        <v>553</v>
      </c>
      <c r="F9" s="4" t="s">
        <v>2</v>
      </c>
      <c r="G9" s="880">
        <v>20</v>
      </c>
      <c r="H9" s="743" t="s">
        <v>6</v>
      </c>
      <c r="J9" s="806"/>
      <c r="Q9" s="619" t="s">
        <v>6</v>
      </c>
      <c r="R9" s="436"/>
      <c r="S9" s="436"/>
      <c r="T9" s="436"/>
      <c r="U9" s="1" t="s">
        <v>346</v>
      </c>
      <c r="W9" s="448"/>
      <c r="AF9" s="208"/>
    </row>
    <row r="10" spans="2:32" ht="16.5" thickBot="1" x14ac:dyDescent="0.3">
      <c r="C10"/>
      <c r="D10"/>
      <c r="E10" s="214" t="s">
        <v>735</v>
      </c>
      <c r="F10" s="620" t="s">
        <v>0</v>
      </c>
      <c r="G10" s="794">
        <v>10000</v>
      </c>
      <c r="H10" s="9" t="s">
        <v>6</v>
      </c>
      <c r="J10" s="806"/>
      <c r="N10" s="3" t="s">
        <v>92</v>
      </c>
      <c r="O10" s="252" t="s">
        <v>161</v>
      </c>
      <c r="P10" s="291" t="s">
        <v>181</v>
      </c>
      <c r="Q10" s="9" t="s">
        <v>6</v>
      </c>
      <c r="R10" s="436"/>
      <c r="S10" s="436"/>
      <c r="T10" s="436"/>
      <c r="U10" s="1" t="s">
        <v>347</v>
      </c>
      <c r="W10" s="359"/>
      <c r="AF10" s="208"/>
    </row>
    <row r="11" spans="2:32" ht="16.5" thickBot="1" x14ac:dyDescent="0.3">
      <c r="C11"/>
      <c r="D11" s="436"/>
      <c r="E11" s="214" t="s">
        <v>319</v>
      </c>
      <c r="F11" s="461" t="s">
        <v>1</v>
      </c>
      <c r="G11" s="796">
        <v>0.02</v>
      </c>
      <c r="H11" s="619" t="s">
        <v>6</v>
      </c>
      <c r="J11" s="806"/>
      <c r="L11" s="273"/>
      <c r="N11" s="304" t="s">
        <v>10</v>
      </c>
      <c r="O11" s="348"/>
      <c r="P11" s="609" t="s">
        <v>9</v>
      </c>
      <c r="Q11" s="9" t="s">
        <v>6</v>
      </c>
      <c r="R11" s="436"/>
      <c r="S11" s="436"/>
      <c r="T11" s="436"/>
      <c r="AF11" s="208"/>
    </row>
    <row r="12" spans="2:32" ht="16.5" thickBot="1" x14ac:dyDescent="0.3">
      <c r="J12" s="806"/>
      <c r="N12" s="214" t="s">
        <v>339</v>
      </c>
      <c r="O12" s="623" t="s">
        <v>1</v>
      </c>
      <c r="P12" s="796">
        <v>0.35</v>
      </c>
      <c r="Q12" s="9" t="s">
        <v>6</v>
      </c>
      <c r="R12" s="436"/>
      <c r="S12" s="436"/>
      <c r="T12" s="436"/>
      <c r="AF12" s="208"/>
    </row>
    <row r="13" spans="2:32" ht="16.5" thickBot="1" x14ac:dyDescent="0.3">
      <c r="E13" s="3" t="s">
        <v>7</v>
      </c>
      <c r="F13" s="252" t="s">
        <v>161</v>
      </c>
      <c r="G13" s="325" t="s">
        <v>181</v>
      </c>
      <c r="H13" s="13"/>
      <c r="J13" s="806"/>
      <c r="L13" s="273"/>
      <c r="N13" s="333" t="s">
        <v>157</v>
      </c>
      <c r="O13" s="349"/>
      <c r="P13" s="606" t="s">
        <v>176</v>
      </c>
      <c r="R13" s="436"/>
      <c r="S13" s="436"/>
      <c r="T13" s="436"/>
      <c r="AF13" s="208"/>
    </row>
    <row r="14" spans="2:32" ht="16.5" thickBot="1" x14ac:dyDescent="0.3">
      <c r="C14"/>
      <c r="D14"/>
      <c r="E14" s="786" t="s">
        <v>685</v>
      </c>
      <c r="G14" s="605">
        <v>9.0909090909090922E-3</v>
      </c>
      <c r="I14"/>
      <c r="J14" s="806"/>
      <c r="N14" s="214" t="s">
        <v>340</v>
      </c>
      <c r="O14" s="623" t="s">
        <v>1</v>
      </c>
      <c r="P14" s="796">
        <v>7.0000000000000007E-2</v>
      </c>
      <c r="Q14" s="303"/>
      <c r="R14" s="436"/>
      <c r="S14" s="436"/>
      <c r="T14" s="436"/>
      <c r="AF14" s="208"/>
    </row>
    <row r="15" spans="2:32" ht="16.5" thickBot="1" x14ac:dyDescent="0.3">
      <c r="C15" s="242"/>
      <c r="E15" s="310" t="s">
        <v>672</v>
      </c>
      <c r="F15" s="311" t="s">
        <v>216</v>
      </c>
      <c r="G15" s="425">
        <f>'Financial Inputs'!G14*'Financial Inputs'!G7</f>
        <v>90.909090909090921</v>
      </c>
      <c r="H15" s="9" t="s">
        <v>6</v>
      </c>
      <c r="J15" s="806"/>
      <c r="L15" s="273"/>
      <c r="N15" s="333" t="s">
        <v>158</v>
      </c>
      <c r="O15" s="349"/>
      <c r="P15" s="606" t="s">
        <v>176</v>
      </c>
      <c r="Q15" s="294" t="s">
        <v>6</v>
      </c>
      <c r="R15" s="436"/>
      <c r="S15" s="436"/>
      <c r="T15" s="436"/>
      <c r="AF15" s="208"/>
    </row>
    <row r="16" spans="2:32" ht="15.75" x14ac:dyDescent="0.25">
      <c r="C16" s="270"/>
      <c r="E16" s="326" t="s">
        <v>508</v>
      </c>
      <c r="F16" s="16" t="s">
        <v>211</v>
      </c>
      <c r="G16" s="568">
        <f>Switchgrass_Key_Inputs!D46</f>
        <v>81.47700822717654</v>
      </c>
      <c r="H16" s="9" t="s">
        <v>6</v>
      </c>
      <c r="J16" s="806"/>
      <c r="N16" s="350" t="s">
        <v>19</v>
      </c>
      <c r="O16" s="351" t="s">
        <v>1</v>
      </c>
      <c r="P16" s="352">
        <f>IF($P$11="Yes",$P$77+(P78*(1-$P$77)),0%)</f>
        <v>0.39549999999999996</v>
      </c>
      <c r="Q16" s="9" t="s">
        <v>6</v>
      </c>
      <c r="R16" s="436"/>
      <c r="S16" s="436"/>
      <c r="T16" s="436"/>
      <c r="AF16" s="208"/>
    </row>
    <row r="17" spans="3:32" ht="16.5" thickBot="1" x14ac:dyDescent="0.3">
      <c r="C17" s="270"/>
      <c r="E17" s="359" t="s">
        <v>541</v>
      </c>
      <c r="F17" s="7" t="s">
        <v>362</v>
      </c>
      <c r="G17" s="884">
        <f>IF(X126=2,'Key inputs &amp; Outputs'!F16*Switchgrass_Key_Inputs!D45,0)</f>
        <v>0</v>
      </c>
      <c r="H17" s="9" t="s">
        <v>6</v>
      </c>
      <c r="J17" s="806"/>
      <c r="N17" s="308" t="s">
        <v>58</v>
      </c>
      <c r="O17" s="331"/>
      <c r="P17" s="332" t="s">
        <v>63</v>
      </c>
      <c r="R17" s="436"/>
      <c r="S17" s="436"/>
      <c r="T17" s="436"/>
      <c r="AF17" s="208"/>
    </row>
    <row r="18" spans="3:32" ht="16.5" thickBot="1" x14ac:dyDescent="0.3">
      <c r="J18" s="806"/>
      <c r="Q18" s="619" t="s">
        <v>6</v>
      </c>
      <c r="R18" s="436"/>
      <c r="S18" s="436"/>
      <c r="T18" s="436"/>
      <c r="AF18" s="208"/>
    </row>
    <row r="19" spans="3:32" ht="16.5" thickBot="1" x14ac:dyDescent="0.3">
      <c r="C19" s="244"/>
      <c r="E19" s="3" t="s">
        <v>115</v>
      </c>
      <c r="F19" s="252" t="s">
        <v>161</v>
      </c>
      <c r="G19" s="291" t="s">
        <v>181</v>
      </c>
      <c r="H19" s="13"/>
      <c r="J19" s="806"/>
      <c r="L19"/>
      <c r="N19" s="253" t="s">
        <v>58</v>
      </c>
      <c r="O19" s="303" t="s">
        <v>182</v>
      </c>
      <c r="P19" s="303"/>
      <c r="Q19" s="9" t="s">
        <v>6</v>
      </c>
      <c r="R19" s="436"/>
      <c r="S19" s="436"/>
      <c r="T19" s="436"/>
      <c r="AF19" s="208"/>
    </row>
    <row r="20" spans="3:32" ht="15.75" x14ac:dyDescent="0.25">
      <c r="C20" s="272"/>
      <c r="E20" s="313" t="s">
        <v>3</v>
      </c>
      <c r="F20" s="306" t="s">
        <v>23</v>
      </c>
      <c r="G20" s="600">
        <v>12</v>
      </c>
      <c r="H20" s="9" t="s">
        <v>6</v>
      </c>
      <c r="J20" s="806"/>
      <c r="L20" s="12"/>
      <c r="M20" s="12"/>
      <c r="N20" s="334" t="s">
        <v>184</v>
      </c>
      <c r="O20" s="472" t="s">
        <v>83</v>
      </c>
      <c r="Q20" s="9" t="s">
        <v>6</v>
      </c>
      <c r="R20" s="436"/>
      <c r="S20" s="436"/>
      <c r="T20" s="436"/>
      <c r="AF20" s="208"/>
    </row>
    <row r="21" spans="3:32" ht="16.5" thickBot="1" x14ac:dyDescent="0.3">
      <c r="C21" s="272"/>
      <c r="E21" s="318" t="s">
        <v>22</v>
      </c>
      <c r="F21" s="4" t="s">
        <v>1</v>
      </c>
      <c r="G21" s="601">
        <v>0.08</v>
      </c>
      <c r="H21" s="9" t="s">
        <v>6</v>
      </c>
      <c r="J21" s="806"/>
      <c r="L21" s="12"/>
      <c r="M21" s="12"/>
      <c r="N21" s="308" t="s">
        <v>185</v>
      </c>
      <c r="O21" s="335">
        <v>0.5</v>
      </c>
      <c r="Q21" s="9" t="s">
        <v>6</v>
      </c>
      <c r="R21" s="436"/>
      <c r="S21" s="436"/>
      <c r="T21" s="436"/>
      <c r="AF21" s="208"/>
    </row>
    <row r="22" spans="3:32" ht="16.5" thickBot="1" x14ac:dyDescent="0.3">
      <c r="C22" s="244"/>
      <c r="E22" s="315" t="s">
        <v>24</v>
      </c>
      <c r="F22" s="309" t="s">
        <v>0</v>
      </c>
      <c r="G22" s="317">
        <f>G7*($G$21/12)*($G$20/2)</f>
        <v>400</v>
      </c>
      <c r="H22" s="9" t="s">
        <v>6</v>
      </c>
      <c r="J22" s="806"/>
      <c r="L22"/>
      <c r="M22" s="12"/>
      <c r="Q22" s="9" t="s">
        <v>6</v>
      </c>
      <c r="R22" s="436"/>
      <c r="S22" s="436"/>
      <c r="T22" s="436"/>
      <c r="AF22" s="208"/>
    </row>
    <row r="23" spans="3:32" ht="16.5" thickBot="1" x14ac:dyDescent="0.3">
      <c r="G23" s="152"/>
      <c r="H23" s="13"/>
      <c r="J23" s="806"/>
      <c r="N23" s="214" t="s">
        <v>124</v>
      </c>
      <c r="O23" s="623" t="s">
        <v>556</v>
      </c>
      <c r="P23" s="798">
        <v>1.2</v>
      </c>
      <c r="Q23" s="9" t="s">
        <v>6</v>
      </c>
      <c r="R23" s="436"/>
      <c r="S23" s="436"/>
      <c r="T23" s="436"/>
      <c r="AF23" s="208"/>
    </row>
    <row r="24" spans="3:32" ht="15.75" x14ac:dyDescent="0.25">
      <c r="C24" s="244"/>
      <c r="E24" s="323" t="s">
        <v>21</v>
      </c>
      <c r="F24" s="324" t="s">
        <v>161</v>
      </c>
      <c r="G24" s="325" t="s">
        <v>181</v>
      </c>
      <c r="H24" s="288"/>
      <c r="J24" s="806"/>
      <c r="N24" s="314" t="s">
        <v>125</v>
      </c>
      <c r="O24" s="210">
        <f>MAX('Detailed Cash Flow'!G26:AJ26)</f>
        <v>1</v>
      </c>
      <c r="P24" s="319">
        <f>ROUND('Detailed Cash Flow'!$F$25,2)</f>
        <v>355.24</v>
      </c>
      <c r="R24" s="436"/>
      <c r="S24" s="436"/>
      <c r="T24" s="436"/>
      <c r="AF24" s="208"/>
    </row>
    <row r="25" spans="3:32" ht="15.75" x14ac:dyDescent="0.25">
      <c r="E25" s="214" t="s">
        <v>676</v>
      </c>
      <c r="F25" s="623" t="s">
        <v>1</v>
      </c>
      <c r="G25" s="797">
        <v>0.25</v>
      </c>
      <c r="H25" s="619" t="s">
        <v>6</v>
      </c>
      <c r="J25" s="806"/>
      <c r="L25" s="270"/>
      <c r="N25" s="314" t="s">
        <v>179</v>
      </c>
      <c r="O25" s="7" t="s">
        <v>112</v>
      </c>
      <c r="P25" s="320" t="str">
        <f>IF($P$24&gt;=$P$80,"Pass","Fail")</f>
        <v>Pass</v>
      </c>
      <c r="R25" s="436"/>
      <c r="S25" s="436"/>
      <c r="T25" s="436"/>
      <c r="AF25" s="208"/>
    </row>
    <row r="26" spans="3:32" ht="15.75" x14ac:dyDescent="0.25">
      <c r="E26" s="214" t="s">
        <v>338</v>
      </c>
      <c r="F26" s="623" t="s">
        <v>2</v>
      </c>
      <c r="G26" s="795">
        <v>10</v>
      </c>
      <c r="H26" s="619" t="s">
        <v>6</v>
      </c>
      <c r="J26" s="806"/>
      <c r="L26" s="270"/>
      <c r="N26" s="314" t="s">
        <v>141</v>
      </c>
      <c r="O26" s="7"/>
      <c r="P26" s="321">
        <v>1.45</v>
      </c>
      <c r="R26" s="436"/>
      <c r="S26" s="436"/>
      <c r="T26" s="436"/>
      <c r="AF26" s="208"/>
    </row>
    <row r="27" spans="3:32" ht="15.75" x14ac:dyDescent="0.25">
      <c r="E27" s="214" t="s">
        <v>555</v>
      </c>
      <c r="F27" s="623" t="s">
        <v>1</v>
      </c>
      <c r="G27" s="796">
        <v>0.08</v>
      </c>
      <c r="H27" s="619" t="s">
        <v>6</v>
      </c>
      <c r="J27" s="806"/>
      <c r="N27" s="314" t="s">
        <v>140</v>
      </c>
      <c r="O27" s="210"/>
      <c r="P27" s="319">
        <f>ROUND('Detailed Cash Flow'!$E$25,2)</f>
        <v>369.92</v>
      </c>
      <c r="R27" s="436"/>
      <c r="S27" s="436"/>
      <c r="T27" s="436"/>
      <c r="AF27" s="208"/>
    </row>
    <row r="28" spans="3:32" ht="16.5" thickBot="1" x14ac:dyDescent="0.3">
      <c r="C28" s="270"/>
      <c r="D28" s="1">
        <f>IF(OR(G28&lt;0,G28=""),1,0)</f>
        <v>0</v>
      </c>
      <c r="E28" s="327" t="s">
        <v>673</v>
      </c>
      <c r="F28" s="316" t="s">
        <v>1</v>
      </c>
      <c r="G28" s="607">
        <v>0.01</v>
      </c>
      <c r="H28" s="9" t="s">
        <v>6</v>
      </c>
      <c r="J28" s="806"/>
      <c r="L28" s="270"/>
      <c r="N28" s="308" t="s">
        <v>180</v>
      </c>
      <c r="O28" s="309" t="s">
        <v>112</v>
      </c>
      <c r="P28" s="322" t="str">
        <f>IF($P$27&gt;=$P$26,"Pass","Fail")</f>
        <v>Pass</v>
      </c>
      <c r="AF28" s="208"/>
    </row>
    <row r="29" spans="3:32" ht="16.5" thickBot="1" x14ac:dyDescent="0.3">
      <c r="C29" s="270"/>
      <c r="D29" s="1">
        <f>IF(OR(G29&lt;0,G29=""),1,0)</f>
        <v>0</v>
      </c>
      <c r="E29" s="327" t="s">
        <v>674</v>
      </c>
      <c r="F29" s="316" t="s">
        <v>1</v>
      </c>
      <c r="G29" s="608">
        <v>2.5000000000000001E-3</v>
      </c>
      <c r="H29" s="9" t="s">
        <v>6</v>
      </c>
      <c r="J29" s="806"/>
      <c r="AF29" s="208"/>
    </row>
    <row r="30" spans="3:32" ht="16.5" thickBot="1" x14ac:dyDescent="0.3">
      <c r="C30" s="270"/>
      <c r="E30" s="327" t="s">
        <v>108</v>
      </c>
      <c r="F30" s="930" t="s">
        <v>0</v>
      </c>
      <c r="G30" s="931">
        <v>0</v>
      </c>
      <c r="H30" s="9" t="s">
        <v>6</v>
      </c>
      <c r="J30" s="806"/>
      <c r="AF30" s="208"/>
    </row>
    <row r="31" spans="3:32" x14ac:dyDescent="0.2">
      <c r="E31" s="305" t="s">
        <v>801</v>
      </c>
      <c r="F31" s="932">
        <f>'Detailed Cash Flow'!F99</f>
        <v>0.25</v>
      </c>
      <c r="G31" s="933">
        <f>'Detailed Cash Flow'!F100</f>
        <v>2500</v>
      </c>
      <c r="J31" s="806"/>
      <c r="AF31" s="208"/>
    </row>
    <row r="32" spans="3:32" ht="15.75" thickBot="1" x14ac:dyDescent="0.25">
      <c r="J32" s="806"/>
      <c r="AF32" s="208"/>
    </row>
    <row r="33" spans="3:32" ht="16.5" thickBot="1" x14ac:dyDescent="0.3">
      <c r="E33" s="3" t="s">
        <v>139</v>
      </c>
      <c r="F33" s="15"/>
      <c r="G33" s="239"/>
      <c r="J33" s="806"/>
      <c r="AF33" s="208"/>
    </row>
    <row r="34" spans="3:32" x14ac:dyDescent="0.2">
      <c r="E34" s="305" t="s">
        <v>801</v>
      </c>
      <c r="F34" s="929">
        <f>F31</f>
        <v>0.25</v>
      </c>
      <c r="G34" s="51">
        <f>G31</f>
        <v>2500</v>
      </c>
      <c r="J34" s="806"/>
      <c r="AF34" s="208"/>
    </row>
    <row r="35" spans="3:32" ht="15.75" x14ac:dyDescent="0.25">
      <c r="E35" s="5" t="s">
        <v>736</v>
      </c>
      <c r="F35" s="356">
        <f>G35/$G$37</f>
        <v>0</v>
      </c>
      <c r="G35" s="937">
        <v>0</v>
      </c>
      <c r="H35" s="743" t="s">
        <v>6</v>
      </c>
      <c r="J35" s="806"/>
      <c r="N35" s="50"/>
      <c r="AF35" s="208"/>
    </row>
    <row r="36" spans="3:32" ht="16.5" thickBot="1" x14ac:dyDescent="0.3">
      <c r="E36" s="359" t="s">
        <v>138</v>
      </c>
      <c r="F36" s="356">
        <f>G36/$G$37</f>
        <v>0.76019184652278182</v>
      </c>
      <c r="G36" s="938">
        <f>-'Detailed Cash Flow'!$F$35</f>
        <v>7925</v>
      </c>
      <c r="H36" s="743" t="s">
        <v>6</v>
      </c>
      <c r="J36" s="806"/>
      <c r="AF36" s="208"/>
    </row>
    <row r="37" spans="3:32" ht="30.75" x14ac:dyDescent="0.25">
      <c r="C37" s="241"/>
      <c r="E37" s="885" t="s">
        <v>737</v>
      </c>
      <c r="F37" s="306" t="s">
        <v>0</v>
      </c>
      <c r="G37" s="307">
        <f>G7+G38</f>
        <v>10425</v>
      </c>
      <c r="H37" s="9" t="s">
        <v>6</v>
      </c>
      <c r="J37" s="806"/>
      <c r="AF37" s="208"/>
    </row>
    <row r="38" spans="3:32" ht="15.75" x14ac:dyDescent="0.25">
      <c r="C38" s="240"/>
      <c r="E38" s="882" t="s">
        <v>760</v>
      </c>
      <c r="F38" s="881" t="s">
        <v>0</v>
      </c>
      <c r="G38" s="741">
        <f>($G$28*$P$82*G7+$G$22+$G$30)</f>
        <v>425</v>
      </c>
      <c r="H38" s="9" t="s">
        <v>6</v>
      </c>
      <c r="J38" s="806"/>
      <c r="AF38" s="208"/>
    </row>
    <row r="39" spans="3:32" ht="16.5" thickBot="1" x14ac:dyDescent="0.3">
      <c r="E39" s="329" t="s">
        <v>802</v>
      </c>
      <c r="F39" s="312" t="s">
        <v>0</v>
      </c>
      <c r="G39" s="330">
        <f>G37+G38</f>
        <v>10850</v>
      </c>
      <c r="H39" s="9" t="s">
        <v>6</v>
      </c>
      <c r="J39" s="806"/>
      <c r="AF39" s="208"/>
    </row>
    <row r="40" spans="3:32" x14ac:dyDescent="0.2">
      <c r="J40" s="806"/>
      <c r="AF40" s="208"/>
    </row>
    <row r="41" spans="3:32" x14ac:dyDescent="0.2">
      <c r="E41" s="628" t="s">
        <v>560</v>
      </c>
      <c r="F41" s="372"/>
      <c r="G41" s="372"/>
      <c r="J41" s="806"/>
      <c r="AF41" s="208"/>
    </row>
    <row r="42" spans="3:32" ht="15.75" x14ac:dyDescent="0.25">
      <c r="E42" s="934" t="s">
        <v>544</v>
      </c>
      <c r="F42" s="939" t="s">
        <v>1</v>
      </c>
      <c r="G42" s="718">
        <v>0.1</v>
      </c>
      <c r="H42" s="619" t="s">
        <v>6</v>
      </c>
      <c r="J42" s="806"/>
      <c r="AF42" s="208"/>
    </row>
    <row r="43" spans="3:32" ht="15.75" thickBot="1" x14ac:dyDescent="0.25">
      <c r="C43" s="270"/>
      <c r="E43" s="359" t="s">
        <v>545</v>
      </c>
      <c r="F43" s="316" t="s">
        <v>1</v>
      </c>
      <c r="G43" s="603">
        <f>'Detailed Cash Flow'!D52</f>
        <v>10.169356580297787</v>
      </c>
      <c r="J43" s="806"/>
      <c r="AF43" s="208"/>
    </row>
    <row r="44" spans="3:32" x14ac:dyDescent="0.2">
      <c r="J44" s="806"/>
      <c r="AF44" s="208"/>
    </row>
    <row r="45" spans="3:32" ht="15.75" x14ac:dyDescent="0.25">
      <c r="E45" s="934" t="s">
        <v>174</v>
      </c>
      <c r="F45" s="935" t="s">
        <v>1</v>
      </c>
      <c r="G45" s="936">
        <f>(V191*F36)+(F34*V189*(1-P16))/(F34+F36)</f>
        <v>8.7987208391150651E-2</v>
      </c>
      <c r="H45" s="743" t="s">
        <v>6</v>
      </c>
      <c r="J45" s="806"/>
      <c r="AF45" s="208"/>
    </row>
    <row r="46" spans="3:32" ht="15.75" x14ac:dyDescent="0.25">
      <c r="C46"/>
      <c r="D46"/>
      <c r="E46"/>
      <c r="F46"/>
      <c r="G46"/>
      <c r="H46"/>
      <c r="I46"/>
      <c r="J46" s="806"/>
      <c r="AF46" s="208"/>
    </row>
    <row r="47" spans="3:32" x14ac:dyDescent="0.2">
      <c r="J47" s="806"/>
      <c r="AF47" s="208"/>
    </row>
    <row r="48" spans="3:32" x14ac:dyDescent="0.2">
      <c r="J48" s="806"/>
      <c r="AF48" s="208"/>
    </row>
    <row r="49" spans="10:32" x14ac:dyDescent="0.2">
      <c r="J49" s="806"/>
      <c r="AF49" s="208"/>
    </row>
    <row r="50" spans="10:32" x14ac:dyDescent="0.2">
      <c r="J50" s="806"/>
      <c r="AF50" s="208"/>
    </row>
    <row r="51" spans="10:32" x14ac:dyDescent="0.2">
      <c r="J51" s="806"/>
      <c r="AF51" s="208"/>
    </row>
    <row r="52" spans="10:32" x14ac:dyDescent="0.2">
      <c r="J52" s="806"/>
      <c r="AF52" s="208"/>
    </row>
    <row r="53" spans="10:32" x14ac:dyDescent="0.2">
      <c r="J53" s="806"/>
      <c r="AF53" s="208"/>
    </row>
    <row r="54" spans="10:32" x14ac:dyDescent="0.2">
      <c r="J54" s="806"/>
      <c r="AF54" s="208"/>
    </row>
    <row r="55" spans="10:32" ht="15.75" x14ac:dyDescent="0.25">
      <c r="J55" s="806"/>
      <c r="K55" s="436"/>
      <c r="AF55" s="208"/>
    </row>
    <row r="56" spans="10:32" ht="15.75" x14ac:dyDescent="0.25">
      <c r="J56" s="806"/>
      <c r="K56" s="436"/>
      <c r="AF56" s="208"/>
    </row>
    <row r="57" spans="10:32" x14ac:dyDescent="0.2">
      <c r="J57" s="806"/>
      <c r="K57" s="370"/>
      <c r="AF57" s="208"/>
    </row>
    <row r="58" spans="10:32" x14ac:dyDescent="0.2">
      <c r="J58" s="806"/>
      <c r="K58" s="370"/>
      <c r="AF58" s="208"/>
    </row>
    <row r="59" spans="10:32" ht="15.75" x14ac:dyDescent="0.25">
      <c r="J59" s="806"/>
      <c r="K59" s="12"/>
      <c r="AF59" s="208"/>
    </row>
    <row r="60" spans="10:32" ht="15.75" x14ac:dyDescent="0.25">
      <c r="J60" s="806"/>
      <c r="K60" s="12"/>
      <c r="AF60" s="208"/>
    </row>
    <row r="61" spans="10:32" ht="15.75" x14ac:dyDescent="0.25">
      <c r="J61" s="806"/>
      <c r="K61" s="12"/>
      <c r="AF61" s="208"/>
    </row>
    <row r="62" spans="10:32" ht="15.75" x14ac:dyDescent="0.25">
      <c r="J62" s="806"/>
      <c r="K62" s="12"/>
      <c r="AF62" s="208"/>
    </row>
    <row r="63" spans="10:32" ht="15.75" x14ac:dyDescent="0.25">
      <c r="J63" s="806"/>
      <c r="K63" s="12"/>
      <c r="AF63" s="208"/>
    </row>
    <row r="64" spans="10:32" ht="15.75" x14ac:dyDescent="0.25">
      <c r="J64" s="806"/>
      <c r="K64" s="12"/>
      <c r="AF64" s="208"/>
    </row>
    <row r="65" spans="2:32" ht="15.75" x14ac:dyDescent="0.25">
      <c r="J65" s="806"/>
      <c r="K65" s="12"/>
      <c r="AF65" s="208"/>
    </row>
    <row r="66" spans="2:32" ht="15.75" x14ac:dyDescent="0.25">
      <c r="J66" s="806"/>
      <c r="K66" s="12"/>
      <c r="AF66" s="208"/>
    </row>
    <row r="67" spans="2:32" ht="15.75" x14ac:dyDescent="0.25">
      <c r="J67" s="806"/>
      <c r="K67" s="12"/>
      <c r="AF67" s="208"/>
    </row>
    <row r="68" spans="2:32" ht="15.75" x14ac:dyDescent="0.25">
      <c r="J68" s="806"/>
      <c r="K68" s="12"/>
      <c r="AF68" s="208"/>
    </row>
    <row r="69" spans="2:32" ht="15.75" x14ac:dyDescent="0.25">
      <c r="J69" s="806"/>
      <c r="K69" s="12"/>
      <c r="AF69" s="208"/>
    </row>
    <row r="70" spans="2:32" x14ac:dyDescent="0.2">
      <c r="B70" s="8"/>
      <c r="J70" s="806"/>
      <c r="AF70" s="208"/>
    </row>
    <row r="71" spans="2:32" x14ac:dyDescent="0.2">
      <c r="J71" s="806"/>
      <c r="AF71" s="208"/>
    </row>
    <row r="72" spans="2:32" x14ac:dyDescent="0.2">
      <c r="B72" s="8"/>
      <c r="J72" s="806"/>
      <c r="AF72" s="208"/>
    </row>
    <row r="73" spans="2:32" x14ac:dyDescent="0.2">
      <c r="B73" s="8"/>
      <c r="J73" s="807"/>
      <c r="AF73" s="208"/>
    </row>
    <row r="74" spans="2:32" ht="15.75" x14ac:dyDescent="0.25">
      <c r="J74" s="807"/>
      <c r="L74" s="243"/>
      <c r="M74" s="12"/>
      <c r="N74" s="318" t="s">
        <v>378</v>
      </c>
      <c r="O74" s="4" t="s">
        <v>1</v>
      </c>
      <c r="P74" s="594">
        <f>'Financial Inputs'!G11</f>
        <v>0.02</v>
      </c>
      <c r="Q74" s="9" t="s">
        <v>6</v>
      </c>
      <c r="AF74" s="208"/>
    </row>
    <row r="75" spans="2:32" ht="15.75" x14ac:dyDescent="0.25">
      <c r="J75" s="807"/>
      <c r="L75" s="270"/>
      <c r="N75" s="326" t="s">
        <v>509</v>
      </c>
      <c r="O75" s="16" t="s">
        <v>1</v>
      </c>
      <c r="P75" s="595">
        <f>P74</f>
        <v>0.02</v>
      </c>
      <c r="Q75" s="9" t="s">
        <v>6</v>
      </c>
      <c r="AF75" s="208"/>
    </row>
    <row r="76" spans="2:32" ht="16.5" thickBot="1" x14ac:dyDescent="0.3">
      <c r="B76" s="8"/>
      <c r="J76" s="807"/>
      <c r="L76"/>
      <c r="M76" s="12" t="e">
        <f>IF(OR(#REF!&lt;#REF!,#REF!&gt;$G$9),1,0)</f>
        <v>#REF!</v>
      </c>
      <c r="N76" s="359" t="s">
        <v>375</v>
      </c>
      <c r="O76" s="309" t="s">
        <v>0</v>
      </c>
      <c r="P76" s="599">
        <f>G10</f>
        <v>10000</v>
      </c>
      <c r="Q76"/>
      <c r="AF76" s="208"/>
    </row>
    <row r="77" spans="2:32" ht="16.5" thickBot="1" x14ac:dyDescent="0.3">
      <c r="B77" s="8"/>
      <c r="J77" s="806"/>
      <c r="L77" s="270"/>
      <c r="M77" s="1">
        <f>IF(OR(P77&lt;0,P77=""),1,0)</f>
        <v>0</v>
      </c>
      <c r="N77" s="310" t="s">
        <v>4</v>
      </c>
      <c r="O77" s="306" t="s">
        <v>1</v>
      </c>
      <c r="P77" s="610">
        <f>P12</f>
        <v>0.35</v>
      </c>
      <c r="Q77" s="9" t="s">
        <v>6</v>
      </c>
      <c r="AF77" s="208"/>
    </row>
    <row r="78" spans="2:32" ht="15.75" x14ac:dyDescent="0.25">
      <c r="B78" s="8"/>
      <c r="J78" s="806"/>
      <c r="L78" s="270"/>
      <c r="M78" s="1">
        <f>IF(OR(P78&lt;0,P78=""),1,0)</f>
        <v>0</v>
      </c>
      <c r="N78" s="310" t="s">
        <v>5</v>
      </c>
      <c r="O78" s="306" t="s">
        <v>1</v>
      </c>
      <c r="P78" s="610">
        <f>P14</f>
        <v>7.0000000000000007E-2</v>
      </c>
      <c r="Q78" s="9" t="s">
        <v>6</v>
      </c>
      <c r="R78" s="10"/>
      <c r="AF78" s="208"/>
    </row>
    <row r="79" spans="2:32" ht="16.5" thickBot="1" x14ac:dyDescent="0.3">
      <c r="B79" s="8"/>
      <c r="J79" s="806"/>
      <c r="M79" s="1">
        <f>IF(OR(P79&lt;0,P79=""),1,0)</f>
        <v>0</v>
      </c>
      <c r="N79" s="328" t="s">
        <v>544</v>
      </c>
      <c r="O79" s="316" t="s">
        <v>1</v>
      </c>
      <c r="P79" s="603">
        <f>G42</f>
        <v>0.1</v>
      </c>
      <c r="Q79" s="9" t="s">
        <v>6</v>
      </c>
      <c r="R79" s="251" t="e">
        <f>IF(OR(#REF!="Cost-Based",#REF!="Neither"),1,IF(#REF!="Performance-Based",2,0))</f>
        <v>#REF!</v>
      </c>
      <c r="AF79" s="208"/>
    </row>
    <row r="80" spans="2:32" ht="15.75" x14ac:dyDescent="0.25">
      <c r="B80" s="8"/>
      <c r="J80" s="806"/>
      <c r="L80" s="270"/>
      <c r="N80" s="326" t="s">
        <v>124</v>
      </c>
      <c r="O80" s="16"/>
      <c r="P80" s="602">
        <f>'Financial Inputs'!P23</f>
        <v>1.2</v>
      </c>
      <c r="Q80" s="9" t="s">
        <v>6</v>
      </c>
      <c r="R80" s="12"/>
      <c r="AF80" s="208"/>
    </row>
    <row r="81" spans="2:32" ht="16.5" thickBot="1" x14ac:dyDescent="0.3">
      <c r="B81" s="8"/>
      <c r="J81" s="806"/>
      <c r="R81" s="12"/>
      <c r="AF81" s="208"/>
    </row>
    <row r="82" spans="2:32" ht="15.75" x14ac:dyDescent="0.25">
      <c r="B82" s="8"/>
      <c r="J82" s="806"/>
      <c r="L82" s="270"/>
      <c r="M82" s="1">
        <f>IF(OR(P82="",P82&lt;0,P82&gt;1),1,0)</f>
        <v>0</v>
      </c>
      <c r="N82" s="305" t="s">
        <v>676</v>
      </c>
      <c r="O82" s="306" t="s">
        <v>1</v>
      </c>
      <c r="P82" s="596">
        <f>G25</f>
        <v>0.25</v>
      </c>
      <c r="Q82" s="9" t="s">
        <v>6</v>
      </c>
      <c r="AF82" s="208"/>
    </row>
    <row r="83" spans="2:32" ht="15.75" x14ac:dyDescent="0.25">
      <c r="B83" s="8"/>
      <c r="J83" s="806"/>
      <c r="L83" s="270"/>
      <c r="M83" s="1">
        <f>IF(OR(P83&lt;=0,P83&gt;G9),1,0)</f>
        <v>0</v>
      </c>
      <c r="N83" s="314" t="s">
        <v>205</v>
      </c>
      <c r="O83" s="4" t="s">
        <v>2</v>
      </c>
      <c r="P83" s="597">
        <f>G26</f>
        <v>10</v>
      </c>
      <c r="Q83" s="9" t="s">
        <v>6</v>
      </c>
      <c r="R83" s="107"/>
      <c r="AF83" s="208"/>
    </row>
    <row r="84" spans="2:32" ht="15.75" x14ac:dyDescent="0.25">
      <c r="B84" s="8"/>
      <c r="J84" s="806"/>
      <c r="N84" s="314" t="s">
        <v>119</v>
      </c>
      <c r="O84" s="4" t="s">
        <v>1</v>
      </c>
      <c r="P84" s="598">
        <f>G27</f>
        <v>0.08</v>
      </c>
      <c r="Q84" s="9" t="s">
        <v>6</v>
      </c>
      <c r="AF84" s="208"/>
    </row>
    <row r="85" spans="2:32" ht="15.75" x14ac:dyDescent="0.25">
      <c r="B85" s="8"/>
      <c r="J85" s="806"/>
      <c r="R85" s="12"/>
      <c r="AF85" s="208"/>
    </row>
    <row r="86" spans="2:32" ht="15.75" x14ac:dyDescent="0.25">
      <c r="B86" s="8"/>
      <c r="J86" s="806"/>
      <c r="R86" s="12"/>
      <c r="AF86" s="208"/>
    </row>
    <row r="87" spans="2:32" ht="15.75" x14ac:dyDescent="0.25">
      <c r="B87" s="8"/>
      <c r="J87" s="806"/>
      <c r="R87" s="12"/>
      <c r="AF87" s="208"/>
    </row>
    <row r="88" spans="2:32" ht="15.75" x14ac:dyDescent="0.25">
      <c r="B88" s="8"/>
      <c r="J88" s="804"/>
      <c r="AF88" s="208"/>
    </row>
    <row r="89" spans="2:32" ht="15.75" x14ac:dyDescent="0.25">
      <c r="B89" s="8"/>
      <c r="I89" s="803"/>
      <c r="J89" s="624"/>
      <c r="R89" s="107"/>
      <c r="AF89" s="208"/>
    </row>
    <row r="90" spans="2:32" ht="15.75" x14ac:dyDescent="0.25">
      <c r="B90" s="8"/>
      <c r="J90" s="624"/>
      <c r="R90" s="14"/>
      <c r="AF90" s="208"/>
    </row>
    <row r="91" spans="2:32" ht="15.75" x14ac:dyDescent="0.25">
      <c r="B91" s="8"/>
      <c r="I91" s="250"/>
      <c r="J91" s="624"/>
      <c r="AF91" s="208"/>
    </row>
    <row r="92" spans="2:32" ht="15.75" x14ac:dyDescent="0.25">
      <c r="B92" s="8"/>
      <c r="J92" s="624"/>
      <c r="R92" s="12"/>
      <c r="AF92" s="208"/>
    </row>
    <row r="93" spans="2:32" ht="15.75" x14ac:dyDescent="0.25">
      <c r="B93" s="8"/>
      <c r="J93" s="624"/>
      <c r="AF93" s="208"/>
    </row>
    <row r="94" spans="2:32" ht="15.75" x14ac:dyDescent="0.25">
      <c r="B94" s="8"/>
      <c r="J94" s="624"/>
      <c r="R94" s="12"/>
      <c r="AF94" s="208"/>
    </row>
    <row r="95" spans="2:32" x14ac:dyDescent="0.2">
      <c r="B95" s="8"/>
      <c r="J95" s="720"/>
      <c r="AF95" s="208"/>
    </row>
    <row r="96" spans="2:32" ht="15.75" x14ac:dyDescent="0.25">
      <c r="B96" s="8"/>
      <c r="J96" s="624"/>
      <c r="R96" s="12"/>
      <c r="AF96" s="208"/>
    </row>
    <row r="97" spans="2:32" ht="15.75" x14ac:dyDescent="0.25">
      <c r="B97" s="8"/>
      <c r="J97" s="624"/>
      <c r="AF97" s="208"/>
    </row>
    <row r="98" spans="2:32" ht="15.75" x14ac:dyDescent="0.25">
      <c r="B98" s="8"/>
      <c r="J98" s="624"/>
      <c r="R98" s="12"/>
      <c r="AF98" s="208"/>
    </row>
    <row r="99" spans="2:32" ht="15.75" x14ac:dyDescent="0.25">
      <c r="B99" s="8"/>
      <c r="J99" s="624"/>
      <c r="R99" s="197"/>
      <c r="AF99" s="208"/>
    </row>
    <row r="100" spans="2:32" ht="15.75" x14ac:dyDescent="0.25">
      <c r="B100" s="8"/>
      <c r="J100" s="624"/>
      <c r="R100" s="251" t="e">
        <f>IF(OR(#REF!="Cost-Based",#REF!="Neither",#REF!="Tax Credit"),1,0)</f>
        <v>#REF!</v>
      </c>
      <c r="AF100" s="208"/>
    </row>
    <row r="101" spans="2:32" ht="15.75" x14ac:dyDescent="0.25">
      <c r="B101" s="8"/>
      <c r="I101" s="250"/>
      <c r="J101" s="624"/>
      <c r="R101" s="14"/>
      <c r="AF101" s="208"/>
    </row>
    <row r="102" spans="2:32" ht="15.75" x14ac:dyDescent="0.25">
      <c r="B102" s="8"/>
      <c r="I102" s="250"/>
      <c r="J102" s="624"/>
      <c r="AF102" s="208"/>
    </row>
    <row r="103" spans="2:32" ht="15.75" x14ac:dyDescent="0.25">
      <c r="L103" s="12"/>
      <c r="M103" s="12"/>
      <c r="P103" s="224"/>
    </row>
    <row r="104" spans="2:32" ht="15.75" x14ac:dyDescent="0.25">
      <c r="L104" s="12"/>
      <c r="M104" s="12"/>
      <c r="P104" s="224"/>
    </row>
    <row r="105" spans="2:32" ht="16.5" thickBot="1" x14ac:dyDescent="0.3">
      <c r="K105" s="1" t="e">
        <f>IF(AND($P$11="Yes",'Financial Inputs'!#REF!="Intermediate"),1,0)</f>
        <v>#REF!</v>
      </c>
      <c r="L105" s="12"/>
      <c r="M105" s="197" t="e">
        <f>IF(AND('Financial Inputs'!#REF!="Intermediate",SUM(#REF!)=1),1,IF(AND('Financial Inputs'!#REF!="Intermediate",SUM(#REF!)&lt;&gt;1),2,0))</f>
        <v>#REF!</v>
      </c>
    </row>
    <row r="106" spans="2:32" ht="16.5" thickBot="1" x14ac:dyDescent="0.3">
      <c r="K106" s="1" t="e">
        <f>IF(AND($P$11="Yes",'Financial Inputs'!#REF!="Intermediate"),1,0)</f>
        <v>#REF!</v>
      </c>
      <c r="M106" s="197" t="e">
        <f>IF(AND('Financial Inputs'!#REF!="Intermediate",SUM(#REF!)=1),1,IF(AND('Financial Inputs'!#REF!="Intermediate",SUM(#REF!)&lt;&gt;1),2,0))</f>
        <v>#REF!</v>
      </c>
      <c r="N106" s="336" t="s">
        <v>186</v>
      </c>
      <c r="O106" s="337" t="s">
        <v>13</v>
      </c>
      <c r="P106" s="368" t="s">
        <v>76</v>
      </c>
      <c r="Q106" s="1021" t="s">
        <v>14</v>
      </c>
      <c r="R106" s="1022"/>
      <c r="S106" s="1023"/>
      <c r="T106" s="337" t="s">
        <v>77</v>
      </c>
      <c r="U106" s="337" t="s">
        <v>78</v>
      </c>
      <c r="V106" s="337" t="s">
        <v>15</v>
      </c>
      <c r="W106" s="337" t="s">
        <v>16</v>
      </c>
      <c r="X106" s="337" t="s">
        <v>79</v>
      </c>
      <c r="Y106" s="338" t="s">
        <v>17</v>
      </c>
      <c r="Z106" s="208"/>
      <c r="AA106" s="368"/>
      <c r="AB106" s="368"/>
    </row>
    <row r="107" spans="2:32" ht="16.5" thickBot="1" x14ac:dyDescent="0.3">
      <c r="K107" s="1" t="e">
        <f>IF(AND($P$11="Yes",'Financial Inputs'!#REF!="Intermediate"),1,0)</f>
        <v>#REF!</v>
      </c>
      <c r="M107" s="197" t="e">
        <f>IF(AND('Financial Inputs'!#REF!="Intermediate",SUM(O108:Y108)=1),1,IF(AND('Financial Inputs'!#REF!="Intermediate",SUM(O108:Y108)&lt;&gt;1),2,0))</f>
        <v>#REF!</v>
      </c>
      <c r="N107" s="883" t="s">
        <v>803</v>
      </c>
      <c r="O107" s="339">
        <v>0.94</v>
      </c>
      <c r="P107" s="369">
        <v>0</v>
      </c>
      <c r="Q107" s="1024">
        <v>1.4999999999999999E-2</v>
      </c>
      <c r="R107" s="1025"/>
      <c r="S107" s="1026"/>
      <c r="T107" s="339">
        <v>0.01</v>
      </c>
      <c r="U107" s="339">
        <v>0</v>
      </c>
      <c r="V107" s="339">
        <v>0</v>
      </c>
      <c r="W107" s="339">
        <v>0.01</v>
      </c>
      <c r="X107" s="339">
        <v>0</v>
      </c>
      <c r="Y107" s="340">
        <v>2.5000000000000001E-2</v>
      </c>
      <c r="Z107" s="226" t="s">
        <v>6</v>
      </c>
      <c r="AA107" s="369"/>
      <c r="AB107" s="369"/>
    </row>
    <row r="108" spans="2:32" ht="16.5" thickBot="1" x14ac:dyDescent="0.3">
      <c r="L108"/>
      <c r="M108" s="708">
        <f>G38</f>
        <v>425</v>
      </c>
      <c r="N108" s="341" t="str">
        <f>E38</f>
        <v>Financing Costs</v>
      </c>
      <c r="O108" s="342">
        <v>0</v>
      </c>
      <c r="P108" s="367">
        <v>0</v>
      </c>
      <c r="Q108" s="1016">
        <v>0</v>
      </c>
      <c r="R108" s="1017"/>
      <c r="S108" s="1018"/>
      <c r="T108" s="342">
        <v>0</v>
      </c>
      <c r="U108" s="342">
        <v>0</v>
      </c>
      <c r="V108" s="342">
        <v>0</v>
      </c>
      <c r="W108" s="342">
        <v>0</v>
      </c>
      <c r="X108" s="342">
        <v>0</v>
      </c>
      <c r="Y108" s="343">
        <v>1</v>
      </c>
      <c r="Z108" s="226" t="s">
        <v>6</v>
      </c>
      <c r="AA108" s="367"/>
      <c r="AB108" s="367"/>
    </row>
    <row r="109" spans="2:32" ht="16.5" thickBot="1" x14ac:dyDescent="0.3">
      <c r="L109"/>
      <c r="M109" s="12"/>
      <c r="N109" s="344" t="s">
        <v>175</v>
      </c>
      <c r="O109" s="345"/>
      <c r="P109" s="346"/>
      <c r="Q109" s="373"/>
      <c r="R109" s="374"/>
      <c r="S109" s="375"/>
      <c r="T109" s="345"/>
      <c r="U109" s="345"/>
      <c r="V109" s="345"/>
      <c r="W109" s="345"/>
      <c r="X109" s="345"/>
      <c r="Y109" s="347"/>
      <c r="Z109" s="295" t="s">
        <v>6</v>
      </c>
      <c r="AA109" s="346"/>
      <c r="AB109" s="346"/>
    </row>
    <row r="110" spans="2:32" ht="16.5" thickBot="1" x14ac:dyDescent="0.3">
      <c r="B110" s="256"/>
      <c r="C110" s="257"/>
      <c r="D110" s="257"/>
      <c r="E110" s="267" t="s">
        <v>162</v>
      </c>
      <c r="F110" s="257"/>
      <c r="G110" s="257"/>
      <c r="H110" s="257"/>
      <c r="I110" s="257"/>
      <c r="J110" s="257"/>
      <c r="K110" s="257"/>
      <c r="L110"/>
      <c r="M110" s="258"/>
      <c r="N110" s="371"/>
      <c r="O110" s="18"/>
      <c r="P110" s="18"/>
      <c r="Q110" s="12"/>
      <c r="R110" s="12"/>
      <c r="S110" s="12"/>
      <c r="T110" s="18"/>
      <c r="U110" s="18"/>
      <c r="V110" s="18"/>
      <c r="W110" s="18"/>
      <c r="X110" s="18"/>
      <c r="Y110" s="18"/>
      <c r="Z110" s="18"/>
      <c r="AA110" s="18"/>
      <c r="AB110" s="18"/>
      <c r="AC110" s="18"/>
      <c r="AD110" s="18"/>
      <c r="AF110" s="364"/>
    </row>
    <row r="111" spans="2:32" ht="15.75" x14ac:dyDescent="0.25">
      <c r="B111" s="259"/>
      <c r="C111" s="254"/>
      <c r="D111" s="254"/>
      <c r="E111" s="260" t="s">
        <v>164</v>
      </c>
      <c r="F111" s="254"/>
      <c r="G111" s="254"/>
      <c r="H111" s="254"/>
      <c r="I111" s="254"/>
      <c r="J111" s="254"/>
      <c r="K111" s="254"/>
      <c r="L111" s="258"/>
      <c r="M111" s="255"/>
      <c r="N111" s="255"/>
      <c r="O111" s="255"/>
      <c r="P111" s="255"/>
      <c r="Q111" s="255"/>
      <c r="R111" s="255"/>
      <c r="S111" s="255"/>
      <c r="T111" s="255"/>
      <c r="U111" s="254"/>
      <c r="V111" s="254"/>
      <c r="W111" s="254"/>
      <c r="X111" s="254"/>
      <c r="Y111" s="254"/>
      <c r="Z111" s="254"/>
      <c r="AA111" s="254"/>
      <c r="AB111" s="254"/>
      <c r="AC111" s="254"/>
      <c r="AD111" s="254"/>
      <c r="AE111" s="254"/>
      <c r="AF111" s="261"/>
    </row>
    <row r="112" spans="2:32" ht="15.75" x14ac:dyDescent="0.25">
      <c r="B112" s="259"/>
      <c r="C112" s="254"/>
      <c r="D112" s="254"/>
      <c r="E112" s="260" t="s">
        <v>165</v>
      </c>
      <c r="F112" s="254"/>
      <c r="G112" s="254"/>
      <c r="H112" s="254"/>
      <c r="I112" s="254"/>
      <c r="J112" s="254"/>
      <c r="K112" s="254"/>
      <c r="L112" s="255"/>
      <c r="M112" s="255"/>
      <c r="N112" s="255"/>
      <c r="O112" s="255"/>
      <c r="P112" s="255"/>
      <c r="Q112" s="255"/>
      <c r="R112" s="255"/>
      <c r="S112" s="255"/>
      <c r="T112" s="255"/>
      <c r="U112" s="254"/>
      <c r="V112" s="254"/>
      <c r="W112" s="254"/>
      <c r="X112" s="254"/>
      <c r="Y112" s="254"/>
      <c r="Z112" s="254"/>
      <c r="AA112" s="254"/>
      <c r="AB112" s="254"/>
      <c r="AC112" s="254"/>
      <c r="AD112" s="254"/>
      <c r="AE112" s="254"/>
      <c r="AF112" s="261"/>
    </row>
    <row r="113" spans="1:33" ht="15.75" x14ac:dyDescent="0.25">
      <c r="B113" s="259"/>
      <c r="C113" s="254"/>
      <c r="D113" s="254"/>
      <c r="E113" s="260" t="s">
        <v>173</v>
      </c>
      <c r="F113" s="254"/>
      <c r="G113" s="254"/>
      <c r="H113" s="254"/>
      <c r="I113" s="254"/>
      <c r="J113" s="254"/>
      <c r="K113" s="254"/>
      <c r="L113" s="255"/>
      <c r="M113" s="255"/>
      <c r="N113" s="255"/>
      <c r="O113" s="255"/>
      <c r="P113" s="255"/>
      <c r="Q113" s="255"/>
      <c r="R113" s="255"/>
      <c r="S113" s="255"/>
      <c r="T113" s="255"/>
      <c r="U113" s="254"/>
      <c r="V113" s="254"/>
      <c r="W113" s="254"/>
      <c r="X113" s="254"/>
      <c r="Y113" s="254"/>
      <c r="Z113" s="254"/>
      <c r="AA113" s="254"/>
      <c r="AB113" s="254"/>
      <c r="AC113" s="254"/>
      <c r="AD113" s="254"/>
      <c r="AE113" s="254"/>
      <c r="AF113" s="261"/>
    </row>
    <row r="114" spans="1:33" ht="15.75" x14ac:dyDescent="0.25">
      <c r="B114" s="259"/>
      <c r="C114" s="254"/>
      <c r="D114" s="254"/>
      <c r="E114" s="260" t="s">
        <v>577</v>
      </c>
      <c r="F114" s="254"/>
      <c r="G114" s="254"/>
      <c r="H114" s="254"/>
      <c r="I114" s="254"/>
      <c r="J114" s="254"/>
      <c r="K114" s="254"/>
      <c r="L114" s="255"/>
      <c r="M114" s="255"/>
      <c r="N114" s="255"/>
      <c r="O114" s="255"/>
      <c r="P114" s="255"/>
      <c r="Q114" s="255"/>
      <c r="R114" s="255"/>
      <c r="S114" s="255"/>
      <c r="T114" s="255"/>
      <c r="U114" s="254"/>
      <c r="V114" s="254"/>
      <c r="W114" s="254"/>
      <c r="X114" s="254"/>
      <c r="Y114" s="254"/>
      <c r="Z114" s="254"/>
      <c r="AA114" s="254"/>
      <c r="AB114" s="254"/>
      <c r="AC114" s="254"/>
      <c r="AD114" s="254"/>
      <c r="AE114" s="254"/>
      <c r="AF114" s="261"/>
    </row>
    <row r="115" spans="1:33" ht="15.75" x14ac:dyDescent="0.25">
      <c r="B115" s="259"/>
      <c r="C115" s="254"/>
      <c r="D115" s="254"/>
      <c r="E115" s="260" t="s">
        <v>166</v>
      </c>
      <c r="F115" s="254"/>
      <c r="G115" s="254"/>
      <c r="H115" s="254"/>
      <c r="I115" s="254"/>
      <c r="J115" s="254"/>
      <c r="K115" s="254"/>
      <c r="L115" s="255"/>
      <c r="M115" s="255"/>
      <c r="N115" s="255"/>
      <c r="O115" s="255"/>
      <c r="P115" s="255"/>
      <c r="Q115" s="255"/>
      <c r="R115" s="255"/>
      <c r="S115" s="255"/>
      <c r="T115" s="255"/>
      <c r="U115" s="254"/>
      <c r="V115" s="254"/>
      <c r="W115" s="254"/>
      <c r="X115" s="254"/>
      <c r="Y115" s="254"/>
      <c r="Z115" s="254"/>
      <c r="AA115" s="254"/>
      <c r="AB115" s="254"/>
      <c r="AC115" s="254"/>
      <c r="AD115" s="254"/>
      <c r="AE115" s="254"/>
      <c r="AF115" s="261"/>
    </row>
    <row r="116" spans="1:33" ht="15.75" x14ac:dyDescent="0.25">
      <c r="B116" s="259"/>
      <c r="C116" s="254"/>
      <c r="D116" s="254"/>
      <c r="E116" s="260" t="s">
        <v>167</v>
      </c>
      <c r="F116" s="254"/>
      <c r="G116" s="254"/>
      <c r="H116" s="254"/>
      <c r="I116" s="254"/>
      <c r="J116" s="254"/>
      <c r="K116" s="254"/>
      <c r="L116" s="255"/>
      <c r="M116" s="255"/>
      <c r="N116" s="255"/>
      <c r="O116" s="255"/>
      <c r="P116" s="255"/>
      <c r="Q116" s="255"/>
      <c r="R116" s="255"/>
      <c r="S116" s="255"/>
      <c r="T116" s="255"/>
      <c r="U116" s="254"/>
      <c r="V116" s="254"/>
      <c r="W116" s="254"/>
      <c r="X116" s="254"/>
      <c r="Y116" s="254"/>
      <c r="Z116" s="254"/>
      <c r="AA116" s="254"/>
      <c r="AB116" s="254"/>
      <c r="AC116" s="254"/>
      <c r="AD116" s="254"/>
      <c r="AE116" s="254"/>
      <c r="AF116" s="261"/>
    </row>
    <row r="117" spans="1:33" ht="15.75" x14ac:dyDescent="0.25">
      <c r="B117" s="259"/>
      <c r="C117" s="254"/>
      <c r="D117" s="254"/>
      <c r="E117" s="260" t="s">
        <v>168</v>
      </c>
      <c r="F117" s="254"/>
      <c r="G117" s="254"/>
      <c r="H117" s="254"/>
      <c r="I117" s="254"/>
      <c r="J117" s="255"/>
      <c r="K117" s="255"/>
      <c r="L117" s="255"/>
      <c r="M117" s="255"/>
      <c r="N117" s="255"/>
      <c r="O117" s="255"/>
      <c r="P117" s="255"/>
      <c r="Q117" s="255"/>
      <c r="R117" s="255"/>
      <c r="S117" s="255"/>
      <c r="T117" s="255"/>
      <c r="U117" s="254"/>
      <c r="V117" s="254"/>
      <c r="W117" s="254"/>
      <c r="X117" s="254"/>
      <c r="Y117" s="254"/>
      <c r="Z117" s="254"/>
      <c r="AA117" s="254"/>
      <c r="AB117" s="254"/>
      <c r="AC117" s="254"/>
      <c r="AD117" s="254"/>
      <c r="AE117" s="254"/>
      <c r="AF117" s="261"/>
    </row>
    <row r="118" spans="1:33" s="353" customFormat="1" ht="15.75" x14ac:dyDescent="0.25">
      <c r="B118" s="259"/>
      <c r="C118" s="254"/>
      <c r="D118" s="254"/>
      <c r="E118" s="260" t="s">
        <v>169</v>
      </c>
      <c r="F118" s="254"/>
      <c r="G118" s="254"/>
      <c r="H118" s="254"/>
      <c r="I118" s="254"/>
      <c r="J118" s="255"/>
      <c r="K118" s="255"/>
      <c r="L118" s="255"/>
      <c r="M118" s="255"/>
      <c r="N118" s="255"/>
      <c r="O118" s="255"/>
      <c r="P118" s="255"/>
      <c r="Q118" s="255"/>
      <c r="R118" s="255"/>
      <c r="S118" s="255"/>
      <c r="T118" s="255"/>
      <c r="U118" s="254"/>
      <c r="V118" s="254"/>
      <c r="W118" s="254"/>
      <c r="X118" s="254"/>
      <c r="Y118" s="254"/>
      <c r="Z118" s="254"/>
      <c r="AA118" s="254"/>
      <c r="AB118" s="254"/>
      <c r="AC118" s="254"/>
      <c r="AD118" s="254"/>
      <c r="AE118" s="254"/>
      <c r="AF118" s="261"/>
    </row>
    <row r="119" spans="1:33" ht="15.75" x14ac:dyDescent="0.25">
      <c r="A119" s="353"/>
      <c r="B119" s="259"/>
      <c r="C119" s="254"/>
      <c r="D119" s="254"/>
      <c r="E119" s="260" t="s">
        <v>170</v>
      </c>
      <c r="F119" s="254"/>
      <c r="G119" s="254"/>
      <c r="H119" s="254"/>
      <c r="I119" s="254"/>
      <c r="J119" s="255"/>
      <c r="K119" s="255"/>
      <c r="L119" s="255"/>
      <c r="M119" s="255"/>
      <c r="N119" s="255"/>
      <c r="O119" s="255"/>
      <c r="P119" s="255"/>
      <c r="Q119" s="255"/>
      <c r="R119" s="255"/>
      <c r="S119" s="255"/>
      <c r="T119" s="255"/>
      <c r="U119" s="254"/>
      <c r="V119" s="254"/>
      <c r="W119" s="254"/>
      <c r="X119" s="254"/>
      <c r="Y119" s="254"/>
      <c r="Z119" s="254"/>
      <c r="AA119" s="254"/>
      <c r="AB119" s="254"/>
      <c r="AC119" s="254"/>
      <c r="AD119" s="254"/>
      <c r="AE119" s="254"/>
      <c r="AF119" s="261"/>
      <c r="AG119" s="353"/>
    </row>
    <row r="120" spans="1:33" ht="16.5" thickBot="1" x14ac:dyDescent="0.3">
      <c r="A120" s="353"/>
      <c r="B120" s="262"/>
      <c r="C120" s="263"/>
      <c r="D120" s="263"/>
      <c r="E120" s="264" t="s">
        <v>163</v>
      </c>
      <c r="F120" s="263"/>
      <c r="G120" s="263"/>
      <c r="H120" s="263"/>
      <c r="I120" s="263"/>
      <c r="J120" s="265"/>
      <c r="K120" s="265"/>
      <c r="L120" s="255"/>
      <c r="M120" s="265"/>
      <c r="N120" s="265"/>
      <c r="O120" s="265"/>
      <c r="P120" s="265"/>
      <c r="Q120" s="265"/>
      <c r="R120" s="265"/>
      <c r="S120" s="265"/>
      <c r="T120" s="265"/>
      <c r="U120" s="263"/>
      <c r="V120" s="263"/>
      <c r="W120" s="263"/>
      <c r="X120" s="263"/>
      <c r="Y120" s="263"/>
      <c r="Z120" s="263"/>
      <c r="AA120" s="263"/>
      <c r="AB120" s="263"/>
      <c r="AC120" s="263"/>
      <c r="AD120" s="263"/>
      <c r="AE120" s="263"/>
      <c r="AF120" s="266"/>
      <c r="AG120" s="353"/>
    </row>
    <row r="121" spans="1:33" ht="16.5" thickBot="1" x14ac:dyDescent="0.3">
      <c r="A121" s="353"/>
      <c r="B121" s="353"/>
      <c r="C121" s="353"/>
      <c r="D121" s="353"/>
      <c r="E121" s="354"/>
      <c r="F121" s="353"/>
      <c r="G121" s="355"/>
      <c r="H121" s="353"/>
      <c r="I121" s="353"/>
      <c r="J121" s="353"/>
      <c r="K121" s="353"/>
      <c r="L121" s="265"/>
      <c r="M121" s="353"/>
      <c r="N121" s="353"/>
      <c r="O121" s="353"/>
      <c r="P121" s="353"/>
      <c r="Q121" s="353"/>
      <c r="R121" s="353"/>
      <c r="S121" s="353"/>
      <c r="T121" s="353"/>
      <c r="U121" s="353"/>
      <c r="V121" s="353"/>
      <c r="W121" s="353"/>
      <c r="X121" s="353"/>
      <c r="Y121" s="353"/>
      <c r="Z121" s="353"/>
      <c r="AA121" s="353"/>
      <c r="AB121" s="353"/>
      <c r="AC121" s="353"/>
      <c r="AD121" s="353"/>
      <c r="AE121" s="353"/>
      <c r="AF121" s="353"/>
      <c r="AG121" s="353"/>
    </row>
    <row r="122" spans="1:33" x14ac:dyDescent="0.2">
      <c r="A122" s="353"/>
      <c r="B122" s="353"/>
      <c r="C122" s="353"/>
      <c r="D122" s="353"/>
      <c r="E122" s="354"/>
      <c r="F122" s="353"/>
      <c r="G122" s="355"/>
      <c r="H122" s="353"/>
      <c r="U122" s="353"/>
      <c r="V122" s="353"/>
      <c r="W122" s="353"/>
      <c r="X122" s="353"/>
      <c r="Y122" s="353"/>
      <c r="Z122" s="353"/>
      <c r="AA122" s="353"/>
      <c r="AB122" s="353"/>
      <c r="AC122" s="353"/>
      <c r="AD122" s="353"/>
      <c r="AE122" s="353"/>
      <c r="AF122" s="353"/>
      <c r="AG122" s="353"/>
    </row>
    <row r="123" spans="1:33" ht="15.75" thickBot="1" x14ac:dyDescent="0.25">
      <c r="A123" s="353"/>
      <c r="B123" s="353"/>
      <c r="C123" s="353"/>
      <c r="D123" s="353"/>
      <c r="E123" s="354"/>
      <c r="F123" s="353"/>
      <c r="G123" s="355"/>
      <c r="H123" s="353"/>
      <c r="U123" s="353"/>
      <c r="V123" s="353"/>
      <c r="W123" s="353"/>
      <c r="X123" s="353"/>
      <c r="Y123" s="353"/>
      <c r="Z123" s="353"/>
      <c r="AA123" s="353"/>
      <c r="AB123" s="353"/>
      <c r="AC123" s="353"/>
      <c r="AD123" s="353"/>
      <c r="AE123" s="353"/>
      <c r="AF123" s="353"/>
      <c r="AG123" s="353"/>
    </row>
    <row r="124" spans="1:33" ht="16.5" thickBot="1" x14ac:dyDescent="0.3">
      <c r="A124" s="353"/>
      <c r="B124" s="353"/>
      <c r="C124" s="353"/>
      <c r="D124" s="353"/>
      <c r="E124" s="353"/>
      <c r="F124" s="353"/>
      <c r="G124" s="353"/>
      <c r="H124" s="353"/>
      <c r="T124" s="2" t="s">
        <v>322</v>
      </c>
      <c r="U124" s="429"/>
      <c r="V124" s="429"/>
      <c r="W124" s="429"/>
      <c r="X124" s="429"/>
      <c r="Y124" s="429"/>
      <c r="Z124" s="429"/>
      <c r="AA124" s="429"/>
      <c r="AB124" s="430"/>
      <c r="AC124" s="353"/>
      <c r="AD124" s="353"/>
      <c r="AE124" s="353"/>
      <c r="AF124" s="353"/>
      <c r="AG124" s="353"/>
    </row>
    <row r="125" spans="1:33" ht="29.25" x14ac:dyDescent="0.25">
      <c r="X125" s="1" t="s">
        <v>350</v>
      </c>
      <c r="Y125" s="451" t="str">
        <f>Switchgrass_Key_Inputs!C33</f>
        <v>manure</v>
      </c>
      <c r="Z125" s="451" t="str">
        <f>Switchgrass_Key_Inputs!D33</f>
        <v>manure, food &amp; grass</v>
      </c>
      <c r="AA125" s="391"/>
      <c r="AB125" s="402"/>
    </row>
    <row r="126" spans="1:33" ht="15.75" x14ac:dyDescent="0.25">
      <c r="T126" s="423" t="s">
        <v>228</v>
      </c>
      <c r="X126" s="390">
        <f>IF('Key inputs &amp; Outputs'!F15="No",Switchgrass_Key_Inputs!C34,Switchgrass_Key_Inputs!D34)</f>
        <v>1</v>
      </c>
      <c r="Y126" s="390">
        <v>1</v>
      </c>
      <c r="Z126" s="390">
        <v>2</v>
      </c>
      <c r="AA126" s="424" t="s">
        <v>237</v>
      </c>
      <c r="AB126" s="390" t="s">
        <v>351</v>
      </c>
    </row>
    <row r="127" spans="1:33" ht="15.75" x14ac:dyDescent="0.25">
      <c r="T127" s="390"/>
      <c r="X127" s="401"/>
      <c r="Y127" s="390">
        <f t="dataTable" ref="Y127:Z135" dt2D="0" dtr="1" r1="X126" ca="1"/>
        <v>0</v>
      </c>
      <c r="Z127" s="390">
        <v>0</v>
      </c>
      <c r="AA127" s="424"/>
      <c r="AB127" s="390"/>
    </row>
    <row r="128" spans="1:33" ht="15.75" x14ac:dyDescent="0.25">
      <c r="E128" s="734"/>
      <c r="F128" s="734"/>
      <c r="G128" s="734"/>
      <c r="T128" s="390" t="s">
        <v>789</v>
      </c>
      <c r="X128" s="391">
        <f>'Detailed Cash Flow'!F80</f>
        <v>76614.011202316717</v>
      </c>
      <c r="Y128" s="919">
        <v>76614.011202316717</v>
      </c>
      <c r="Z128" s="919">
        <v>-44502.965867887244</v>
      </c>
      <c r="AA128" s="919">
        <f t="shared" ref="AA128:AA129" si="0">Z128-Y128</f>
        <v>-121116.97707020395</v>
      </c>
      <c r="AB128" s="431">
        <f t="shared" ref="AB128:AB129" si="1">AA128/Y128</f>
        <v>-1.5808724170617701</v>
      </c>
    </row>
    <row r="129" spans="5:28" ht="15.75" x14ac:dyDescent="0.25">
      <c r="E129" s="734" t="s">
        <v>82</v>
      </c>
      <c r="F129" s="734" t="str">
        <f ca="1">CELL("address",'Financial Inputs'!G7)</f>
        <v>$G$7</v>
      </c>
      <c r="G129" s="734" cm="1">
        <f t="array" aca="1" ref="G129" ca="1">INDIRECT(F129)</f>
        <v>10000</v>
      </c>
      <c r="T129" s="390" t="str">
        <f>"Net present value @ "&amp;FIXED(G42*100,1)&amp;"% (over defined useful life)"</f>
        <v>Net present value @ 10.0% (over defined useful life)</v>
      </c>
      <c r="X129" s="391">
        <f>'Detailed Cash Flow'!D53</f>
        <v>652258.26619721949</v>
      </c>
      <c r="Y129" s="391">
        <v>652258.26619721949</v>
      </c>
      <c r="Z129" s="391">
        <v>-378878.83563449839</v>
      </c>
      <c r="AA129" s="391">
        <f t="shared" si="0"/>
        <v>-1031137.1018317179</v>
      </c>
      <c r="AB129" s="431">
        <f t="shared" si="1"/>
        <v>-1.5808724170617703</v>
      </c>
    </row>
    <row r="130" spans="5:28" ht="15.75" x14ac:dyDescent="0.25">
      <c r="E130" s="734" t="s">
        <v>374</v>
      </c>
      <c r="F130" s="734" t="str">
        <f ca="1">CELL("address",'Financial Inputs'!G10)</f>
        <v>$G$10</v>
      </c>
      <c r="G130" s="734" cm="1">
        <f t="array" aca="1" ref="G130" ca="1">INDIRECT(F130)</f>
        <v>10000</v>
      </c>
      <c r="T130" s="390" t="str">
        <f>'Detailed Cash Flow'!B74</f>
        <v>O&amp;M</v>
      </c>
      <c r="U130" s="390" t="s">
        <v>529</v>
      </c>
      <c r="X130" s="391">
        <f>'Detailed Cash Flow'!F74</f>
        <v>90.909090909090978</v>
      </c>
      <c r="Y130" s="391">
        <v>90.909090909090978</v>
      </c>
      <c r="Z130" s="391">
        <v>202842.1330095357</v>
      </c>
      <c r="AA130" s="391">
        <f>Z130-Y130</f>
        <v>202751.22391862661</v>
      </c>
      <c r="AB130" s="431">
        <f>AA130/Y130</f>
        <v>2230.2634631048909</v>
      </c>
    </row>
    <row r="131" spans="5:28" ht="15.75" x14ac:dyDescent="0.25">
      <c r="E131" s="734"/>
      <c r="F131" s="734"/>
      <c r="G131" s="734"/>
      <c r="T131" s="390" t="s">
        <v>720</v>
      </c>
      <c r="U131" s="390" t="s">
        <v>529</v>
      </c>
      <c r="X131" s="391">
        <f>'Detailed Cash Flow'!E69</f>
        <v>65388.118206266859</v>
      </c>
      <c r="Y131" s="391">
        <v>65388.118206266859</v>
      </c>
      <c r="Z131" s="391">
        <v>65388.118206266859</v>
      </c>
      <c r="AA131" s="391">
        <f t="shared" ref="AA131:AA133" si="2">Z131-Y131</f>
        <v>0</v>
      </c>
      <c r="AB131" s="431">
        <f t="shared" ref="AB131:AB133" si="3">AA131/Y131</f>
        <v>0</v>
      </c>
    </row>
    <row r="132" spans="5:28" ht="15.75" x14ac:dyDescent="0.25">
      <c r="E132" s="734"/>
      <c r="F132" s="734"/>
      <c r="G132" s="734"/>
      <c r="T132" s="390" t="s">
        <v>717</v>
      </c>
      <c r="U132" s="390" t="s">
        <v>529</v>
      </c>
      <c r="X132" s="391">
        <f>('Nutrient calculations'!AB68+IF(X130=2,'Nutrient calculations'!AV68,0))*Y142</f>
        <v>34779.332557266316</v>
      </c>
      <c r="Y132" s="391">
        <v>34779.332557266316</v>
      </c>
      <c r="Z132" s="391">
        <v>27489.688610493133</v>
      </c>
      <c r="AA132" s="391">
        <f t="shared" si="2"/>
        <v>-7289.6439467731834</v>
      </c>
      <c r="AB132" s="431">
        <f t="shared" si="3"/>
        <v>-0.20959700519756483</v>
      </c>
    </row>
    <row r="133" spans="5:28" ht="15.75" x14ac:dyDescent="0.25">
      <c r="E133" s="734"/>
      <c r="F133" s="734"/>
      <c r="G133" s="734"/>
      <c r="T133" s="390" t="s">
        <v>431</v>
      </c>
      <c r="U133" s="390" t="s">
        <v>529</v>
      </c>
      <c r="X133" s="391">
        <f>'Detailed Cash Flow'!E71*IF(X130=2,(1+Switchgrass_Key_Inputs!D37),1)</f>
        <v>20000.000000000015</v>
      </c>
      <c r="Y133" s="391">
        <v>20000.000000000015</v>
      </c>
      <c r="Z133" s="391">
        <v>20000.000000000015</v>
      </c>
      <c r="AA133" s="391">
        <f t="shared" si="2"/>
        <v>0</v>
      </c>
      <c r="AB133" s="431">
        <f t="shared" si="3"/>
        <v>0</v>
      </c>
    </row>
    <row r="134" spans="5:28" ht="15.75" x14ac:dyDescent="0.25">
      <c r="E134" s="734" t="s">
        <v>615</v>
      </c>
      <c r="F134" s="734" t="e">
        <f ca="1">CELL("address",'Financial Inputs'!#REF!)</f>
        <v>#REF!</v>
      </c>
      <c r="G134" s="734" t="e" cm="1">
        <f t="array" aca="1" ref="G134" ca="1">INDIRECT(F134)</f>
        <v>#REF!</v>
      </c>
      <c r="X134" s="391"/>
      <c r="Y134" s="612">
        <v>0</v>
      </c>
      <c r="Z134" s="612">
        <v>0</v>
      </c>
      <c r="AA134" s="391"/>
      <c r="AB134" s="431"/>
    </row>
    <row r="135" spans="5:28" ht="15.75" x14ac:dyDescent="0.25">
      <c r="E135" s="734" t="s">
        <v>614</v>
      </c>
      <c r="F135" s="734" t="e">
        <f ca="1">CELL("address",'Financial Inputs'!#REF!)</f>
        <v>#REF!</v>
      </c>
      <c r="G135" s="734" t="e" cm="1">
        <f t="array" aca="1" ref="G135" ca="1">INDIRECT(F135)</f>
        <v>#REF!</v>
      </c>
      <c r="T135" s="390" t="s">
        <v>740</v>
      </c>
      <c r="X135" s="400">
        <f>IF(X126=1,'Nutrient calculations'!Z55-'Nutrient calculations'!E58,'Nutrient calculations'!AV56-'Nutrient calculations'!E58)</f>
        <v>-2232.4157086789537</v>
      </c>
      <c r="Y135" s="400">
        <v>-2232.4157086789537</v>
      </c>
      <c r="Z135" s="400">
        <v>-2140.2601114159179</v>
      </c>
      <c r="AA135" s="400">
        <f>Z135-Y135</f>
        <v>92.155597263035816</v>
      </c>
      <c r="AB135" s="431">
        <f>IFERROR(AA135/Y135,"")</f>
        <v>-4.1280661529464635E-2</v>
      </c>
    </row>
    <row r="136" spans="5:28" ht="15.75" x14ac:dyDescent="0.25">
      <c r="E136" s="734" t="s">
        <v>215</v>
      </c>
      <c r="F136" s="734" t="e">
        <f ca="1">CELL("address",'Financial Inputs'!#REF!)</f>
        <v>#REF!</v>
      </c>
      <c r="G136" s="734" t="e" cm="1">
        <f t="array" aca="1" ref="G136" ca="1">INDIRECT(F136)</f>
        <v>#REF!</v>
      </c>
    </row>
    <row r="139" spans="5:28" x14ac:dyDescent="0.2">
      <c r="X139" s="19"/>
    </row>
    <row r="140" spans="5:28" ht="15.75" thickBot="1" x14ac:dyDescent="0.25"/>
    <row r="141" spans="5:28" ht="16.5" thickBot="1" x14ac:dyDescent="0.3">
      <c r="N141" s="604" t="s">
        <v>546</v>
      </c>
      <c r="O141" s="324" t="s">
        <v>161</v>
      </c>
      <c r="P141" s="291" t="s">
        <v>181</v>
      </c>
      <c r="T141" s="2" t="s">
        <v>354</v>
      </c>
      <c r="U141" s="429"/>
      <c r="V141" s="430"/>
      <c r="Y141" s="2" t="s">
        <v>358</v>
      </c>
      <c r="Z141" s="429"/>
      <c r="AA141" s="429"/>
      <c r="AB141" s="430"/>
    </row>
    <row r="142" spans="5:28" ht="15.75" x14ac:dyDescent="0.25">
      <c r="N142" s="214" t="s">
        <v>730</v>
      </c>
      <c r="O142" s="461" t="s">
        <v>216</v>
      </c>
      <c r="P142" s="852">
        <f>'Key inputs &amp; Outputs'!F4*'Key inputs &amp; Outputs'!F5*'Key inputs &amp; Outputs'!F6*365/1000</f>
        <v>74800.362500000003</v>
      </c>
      <c r="T142" s="399">
        <v>1</v>
      </c>
      <c r="U142" s="390" t="s">
        <v>355</v>
      </c>
      <c r="V142" s="390" t="s">
        <v>226</v>
      </c>
      <c r="Y142" s="399">
        <v>1</v>
      </c>
      <c r="Z142" s="390" t="s">
        <v>359</v>
      </c>
      <c r="AA142" s="390" t="s">
        <v>226</v>
      </c>
    </row>
    <row r="143" spans="5:28" ht="15.75" x14ac:dyDescent="0.25">
      <c r="N143" s="214" t="s">
        <v>731</v>
      </c>
      <c r="O143" s="461" t="s">
        <v>216</v>
      </c>
      <c r="P143" s="852">
        <f>IF('Key inputs &amp; Outputs'!F15="Yes",'Key inputs &amp; Outputs'!F17*Switchgrass_Key_Inputs!D22*Switchgrass_Key_Inputs!D28,0)</f>
        <v>0</v>
      </c>
      <c r="T143" s="399"/>
      <c r="U143" s="390"/>
      <c r="V143" s="390"/>
      <c r="Y143" s="390" t="s">
        <v>351</v>
      </c>
      <c r="Z143" s="454">
        <f>P144</f>
        <v>22562.149792143609</v>
      </c>
      <c r="AA143" s="454">
        <f>'Detailed Cash Flow'!$D$54</f>
        <v>76614.011202316717</v>
      </c>
    </row>
    <row r="144" spans="5:28" ht="30.75" x14ac:dyDescent="0.25">
      <c r="N144" s="376" t="s">
        <v>812</v>
      </c>
      <c r="O144" s="7" t="s">
        <v>216</v>
      </c>
      <c r="P144" s="591">
        <f>'Nutrient calculations'!AT66*$Y$142</f>
        <v>22562.149792143609</v>
      </c>
      <c r="T144" s="152" t="s">
        <v>351</v>
      </c>
      <c r="U144" s="454">
        <f>G7</f>
        <v>10000</v>
      </c>
      <c r="V144" s="454">
        <f>'Detailed Cash Flow'!D54</f>
        <v>76614.011202316717</v>
      </c>
      <c r="Y144" s="399">
        <v>0.5</v>
      </c>
      <c r="Z144" s="391">
        <f t="dataTable" ref="Z144:AA148" dt2D="0" dtr="0" r1="Y142"/>
        <v>11281.074896071805</v>
      </c>
      <c r="AA144" s="391">
        <v>64781.133404831598</v>
      </c>
    </row>
    <row r="145" spans="14:27" ht="15.75" x14ac:dyDescent="0.25">
      <c r="N145" s="1" t="s">
        <v>813</v>
      </c>
      <c r="O145" s="7" t="s">
        <v>216</v>
      </c>
      <c r="P145" s="591">
        <f>'Nutrient calculations'!AT67*$Y$142</f>
        <v>15083.248080095684</v>
      </c>
      <c r="T145" s="399">
        <v>0.5</v>
      </c>
      <c r="U145" s="391">
        <f t="dataTable" ref="U145:V149" dt2D="0" dtr="0" r1="T142" ca="1"/>
        <v>10000</v>
      </c>
      <c r="V145" s="391">
        <v>76614.011202316717</v>
      </c>
      <c r="Y145" s="399">
        <v>0.75</v>
      </c>
      <c r="Z145" s="391">
        <v>16921.612344107707</v>
      </c>
      <c r="AA145" s="391">
        <v>70697.572303574168</v>
      </c>
    </row>
    <row r="146" spans="14:27" ht="15.75" x14ac:dyDescent="0.25">
      <c r="N146" s="376" t="s">
        <v>377</v>
      </c>
      <c r="O146" s="7" t="s">
        <v>216</v>
      </c>
      <c r="P146" s="591">
        <f>IF(AND('Key inputs &amp; Outputs'!F8="Yes",'Key inputs &amp; Outputs'!F9="Yes"),'Key inputs &amp; Outputs'!F10,0)</f>
        <v>20000</v>
      </c>
      <c r="T146" s="399">
        <v>0.75</v>
      </c>
      <c r="U146" s="391">
        <v>10000</v>
      </c>
      <c r="V146" s="391">
        <v>76614.011202316717</v>
      </c>
      <c r="Y146" s="457">
        <v>1</v>
      </c>
      <c r="Z146" s="391">
        <v>22562.149792143609</v>
      </c>
      <c r="AA146" s="391">
        <v>76614.011202316717</v>
      </c>
    </row>
    <row r="147" spans="14:27" ht="15.75" x14ac:dyDescent="0.25">
      <c r="T147" s="457">
        <v>1</v>
      </c>
      <c r="U147" s="392">
        <v>10000</v>
      </c>
      <c r="V147" s="392">
        <v>76614.011202316717</v>
      </c>
      <c r="Y147" s="399">
        <v>1.25</v>
      </c>
      <c r="Z147" s="391">
        <v>28202.687240179512</v>
      </c>
      <c r="AA147" s="391">
        <v>82530.450101059294</v>
      </c>
    </row>
    <row r="148" spans="14:27" ht="15.75" x14ac:dyDescent="0.25">
      <c r="T148" s="399">
        <v>1.25</v>
      </c>
      <c r="U148" s="391">
        <v>10000</v>
      </c>
      <c r="V148" s="391">
        <v>76614.011202316717</v>
      </c>
      <c r="Y148" s="399">
        <v>1.5</v>
      </c>
      <c r="Z148" s="391">
        <v>33843.224688215414</v>
      </c>
      <c r="AA148" s="391">
        <v>88446.888999801842</v>
      </c>
    </row>
    <row r="149" spans="14:27" ht="15.75" x14ac:dyDescent="0.25">
      <c r="T149" s="399">
        <v>1.5</v>
      </c>
      <c r="U149" s="391">
        <v>10000</v>
      </c>
      <c r="V149" s="391">
        <v>76614.011202316717</v>
      </c>
    </row>
    <row r="150" spans="14:27" ht="16.5" thickBot="1" x14ac:dyDescent="0.3">
      <c r="T150" s="390"/>
      <c r="U150" s="390"/>
      <c r="V150" s="390"/>
      <c r="Y150"/>
      <c r="Z150"/>
      <c r="AA150"/>
    </row>
    <row r="151" spans="14:27" ht="16.5" thickBot="1" x14ac:dyDescent="0.3">
      <c r="T151" s="2" t="s">
        <v>352</v>
      </c>
      <c r="U151" s="429"/>
      <c r="V151" s="430"/>
      <c r="Y151"/>
      <c r="Z151"/>
      <c r="AA151"/>
    </row>
    <row r="152" spans="14:27" ht="15.75" x14ac:dyDescent="0.25">
      <c r="V152" s="390" t="s">
        <v>226</v>
      </c>
      <c r="Y152"/>
      <c r="Z152"/>
      <c r="AA152"/>
    </row>
    <row r="153" spans="14:27" ht="15.75" x14ac:dyDescent="0.25">
      <c r="U153" s="1" t="s">
        <v>28</v>
      </c>
      <c r="V153" s="455">
        <f>'Detailed Cash Flow'!$D$54</f>
        <v>76614.011202316717</v>
      </c>
      <c r="Y153"/>
      <c r="Z153"/>
      <c r="AA153"/>
    </row>
    <row r="154" spans="14:27" ht="15.75" x14ac:dyDescent="0.25">
      <c r="T154" s="399">
        <v>0.5</v>
      </c>
      <c r="U154" s="390">
        <f>$U$156*T154/$T$156</f>
        <v>10</v>
      </c>
      <c r="V154" s="391">
        <f t="dataTable" ref="V154:V158" dt2D="0" dtr="0" r1="G9" ca="1"/>
        <v>74414.676258432679</v>
      </c>
      <c r="Y154"/>
      <c r="Z154"/>
      <c r="AA154"/>
    </row>
    <row r="155" spans="14:27" ht="15.75" x14ac:dyDescent="0.25">
      <c r="T155" s="399">
        <v>0.75</v>
      </c>
      <c r="U155" s="390">
        <f>$U$156*T155/$T$156</f>
        <v>15</v>
      </c>
      <c r="V155" s="391">
        <v>75627.132060621312</v>
      </c>
      <c r="Y155"/>
      <c r="Z155"/>
      <c r="AA155"/>
    </row>
    <row r="156" spans="14:27" ht="15.75" x14ac:dyDescent="0.25">
      <c r="T156" s="457">
        <v>1</v>
      </c>
      <c r="U156" s="456">
        <v>20</v>
      </c>
      <c r="V156" s="392">
        <v>76614.011202316717</v>
      </c>
      <c r="Y156"/>
      <c r="Z156"/>
      <c r="AA156"/>
    </row>
    <row r="157" spans="14:27" ht="15.75" x14ac:dyDescent="0.25">
      <c r="T157" s="399">
        <v>1.25</v>
      </c>
      <c r="U157" s="390">
        <f t="shared" ref="U157:U158" si="4">$U$156*T157/$T$156</f>
        <v>25</v>
      </c>
      <c r="V157" s="391">
        <v>77412.666509912422</v>
      </c>
      <c r="Y157"/>
      <c r="Z157"/>
      <c r="AA157"/>
    </row>
    <row r="158" spans="14:27" ht="15.75" x14ac:dyDescent="0.25">
      <c r="T158" s="399">
        <v>1.5</v>
      </c>
      <c r="U158" s="390">
        <f t="shared" si="4"/>
        <v>30</v>
      </c>
      <c r="V158" s="391">
        <v>78048.772105685421</v>
      </c>
      <c r="Y158"/>
      <c r="Z158"/>
      <c r="AA158"/>
    </row>
    <row r="159" spans="14:27" ht="16.5" thickBot="1" x14ac:dyDescent="0.3">
      <c r="Y159"/>
      <c r="Z159"/>
      <c r="AA159"/>
    </row>
    <row r="160" spans="14:27" ht="16.5" thickBot="1" x14ac:dyDescent="0.3">
      <c r="T160" s="2" t="s">
        <v>356</v>
      </c>
      <c r="U160" s="429"/>
      <c r="V160" s="430"/>
    </row>
    <row r="161" spans="20:22" ht="15.75" x14ac:dyDescent="0.25">
      <c r="T161" s="399">
        <v>1</v>
      </c>
      <c r="U161" s="390" t="s">
        <v>355</v>
      </c>
      <c r="V161" s="390" t="s">
        <v>226</v>
      </c>
    </row>
    <row r="162" spans="20:22" ht="15.75" x14ac:dyDescent="0.25">
      <c r="T162" s="390" t="s">
        <v>351</v>
      </c>
      <c r="U162" s="454">
        <f>G15</f>
        <v>90.909090909090921</v>
      </c>
      <c r="V162" s="453">
        <f>'Detailed Cash Flow'!$D$54</f>
        <v>76614.011202316717</v>
      </c>
    </row>
    <row r="163" spans="20:22" ht="15.75" x14ac:dyDescent="0.25">
      <c r="T163" s="399">
        <v>0.5</v>
      </c>
      <c r="U163" s="391">
        <f t="dataTable" ref="U163:V167" dt2D="0" dtr="0" r1="T161" ca="1"/>
        <v>90.909090909090921</v>
      </c>
      <c r="V163" s="391">
        <v>76614.011202316717</v>
      </c>
    </row>
    <row r="164" spans="20:22" ht="15.75" x14ac:dyDescent="0.25">
      <c r="T164" s="399">
        <v>0.75</v>
      </c>
      <c r="U164" s="391">
        <v>90.909090909090921</v>
      </c>
      <c r="V164" s="391">
        <v>76614.011202316717</v>
      </c>
    </row>
    <row r="165" spans="20:22" ht="15.75" x14ac:dyDescent="0.25">
      <c r="T165" s="457">
        <v>1</v>
      </c>
      <c r="U165" s="392">
        <v>90.909090909090921</v>
      </c>
      <c r="V165" s="392">
        <v>76614.011202316717</v>
      </c>
    </row>
    <row r="166" spans="20:22" ht="15.75" x14ac:dyDescent="0.25">
      <c r="T166" s="399">
        <v>1.25</v>
      </c>
      <c r="U166" s="391">
        <v>90.909090909090921</v>
      </c>
      <c r="V166" s="391">
        <v>76614.011202316717</v>
      </c>
    </row>
    <row r="167" spans="20:22" ht="15.75" x14ac:dyDescent="0.25">
      <c r="T167" s="399">
        <v>1.5</v>
      </c>
      <c r="U167" s="391">
        <v>90.909090909090921</v>
      </c>
      <c r="V167" s="391">
        <v>76614.011202316717</v>
      </c>
    </row>
    <row r="169" spans="20:22" ht="15.75" x14ac:dyDescent="0.25">
      <c r="T169"/>
      <c r="U169"/>
      <c r="V169"/>
    </row>
    <row r="170" spans="20:22" ht="15.75" x14ac:dyDescent="0.25">
      <c r="T170"/>
      <c r="U170"/>
      <c r="V170"/>
    </row>
    <row r="171" spans="20:22" ht="15.75" x14ac:dyDescent="0.25">
      <c r="T171"/>
      <c r="U171"/>
      <c r="V171"/>
    </row>
    <row r="172" spans="20:22" ht="15.75" x14ac:dyDescent="0.25">
      <c r="T172"/>
      <c r="U172"/>
      <c r="V172"/>
    </row>
    <row r="173" spans="20:22" ht="15.75" x14ac:dyDescent="0.25">
      <c r="T173"/>
      <c r="U173"/>
      <c r="V173"/>
    </row>
    <row r="174" spans="20:22" ht="15.75" x14ac:dyDescent="0.25">
      <c r="T174"/>
      <c r="U174"/>
      <c r="V174"/>
    </row>
    <row r="175" spans="20:22" ht="15.75" x14ac:dyDescent="0.25">
      <c r="T175"/>
      <c r="U175"/>
      <c r="V175"/>
    </row>
    <row r="176" spans="20:22" ht="15.75" x14ac:dyDescent="0.25">
      <c r="T176"/>
      <c r="U176"/>
      <c r="V176"/>
    </row>
    <row r="177" spans="20:27" ht="15.75" thickBot="1" x14ac:dyDescent="0.25"/>
    <row r="178" spans="20:27" ht="16.5" thickBot="1" x14ac:dyDescent="0.3">
      <c r="T178" s="2" t="s">
        <v>380</v>
      </c>
      <c r="U178" s="429"/>
      <c r="V178" s="430"/>
    </row>
    <row r="179" spans="20:27" ht="15.75" x14ac:dyDescent="0.25">
      <c r="U179" s="390"/>
      <c r="V179" s="390" t="s">
        <v>226</v>
      </c>
    </row>
    <row r="180" spans="20:27" ht="15.75" x14ac:dyDescent="0.25">
      <c r="U180" s="390" t="s">
        <v>357</v>
      </c>
      <c r="V180" s="455">
        <f>'Detailed Cash Flow'!$D$54</f>
        <v>76614.011202316717</v>
      </c>
    </row>
    <row r="181" spans="20:27" ht="15.75" x14ac:dyDescent="0.25">
      <c r="T181" s="399">
        <v>0.5</v>
      </c>
      <c r="U181" s="402">
        <f>$U$183*T181/$T$183</f>
        <v>0.01</v>
      </c>
      <c r="V181" s="391">
        <f t="dataTable" ref="V181:V185" dt2D="0" dtr="0" r1="P74" ca="1"/>
        <v>76614.011202316717</v>
      </c>
    </row>
    <row r="182" spans="20:27" ht="15.75" x14ac:dyDescent="0.25">
      <c r="T182" s="399">
        <v>0.75</v>
      </c>
      <c r="U182" s="402">
        <f>$U$183*T182/$T$183</f>
        <v>1.4999999999999999E-2</v>
      </c>
      <c r="V182" s="391">
        <v>76614.011202316717</v>
      </c>
    </row>
    <row r="183" spans="20:27" ht="15.75" x14ac:dyDescent="0.25">
      <c r="T183" s="457">
        <v>1</v>
      </c>
      <c r="U183" s="462">
        <v>0.02</v>
      </c>
      <c r="V183" s="392">
        <v>76614.011202316717</v>
      </c>
    </row>
    <row r="184" spans="20:27" ht="15.75" x14ac:dyDescent="0.25">
      <c r="T184" s="399">
        <v>1.25</v>
      </c>
      <c r="U184" s="402">
        <f t="shared" ref="U184:U185" si="5">$U$183*T184/$T$183</f>
        <v>2.5000000000000001E-2</v>
      </c>
      <c r="V184" s="391">
        <v>76614.011202316688</v>
      </c>
    </row>
    <row r="185" spans="20:27" ht="15.75" x14ac:dyDescent="0.25">
      <c r="T185" s="399">
        <v>1.5</v>
      </c>
      <c r="U185" s="402">
        <f t="shared" si="5"/>
        <v>0.03</v>
      </c>
      <c r="V185" s="391">
        <v>76614.011202316717</v>
      </c>
    </row>
    <row r="186" spans="20:27" ht="15.75" x14ac:dyDescent="0.25">
      <c r="U186" s="391"/>
    </row>
    <row r="187" spans="20:27" ht="15.75" x14ac:dyDescent="0.25">
      <c r="T187" s="423" t="s">
        <v>385</v>
      </c>
      <c r="U187" s="390"/>
      <c r="V187" s="390"/>
      <c r="W187" s="390"/>
      <c r="Z187"/>
      <c r="AA187"/>
    </row>
    <row r="188" spans="20:27" ht="15.75" x14ac:dyDescent="0.25">
      <c r="T188" s="390" t="s">
        <v>386</v>
      </c>
      <c r="U188" s="466" t="s">
        <v>1</v>
      </c>
      <c r="V188" s="465">
        <f>(1+P84)/(1+P74)-1</f>
        <v>5.8823529411764719E-2</v>
      </c>
      <c r="W188" s="390"/>
      <c r="Z188"/>
      <c r="AA188"/>
    </row>
    <row r="189" spans="20:27" ht="15.75" x14ac:dyDescent="0.25">
      <c r="T189" s="390" t="s">
        <v>387</v>
      </c>
      <c r="U189" s="466" t="s">
        <v>1</v>
      </c>
      <c r="V189" s="465">
        <f>(1+V188)*(1+P74)-1</f>
        <v>8.0000000000000071E-2</v>
      </c>
      <c r="W189" s="390"/>
      <c r="Z189"/>
      <c r="AA189"/>
    </row>
    <row r="190" spans="20:27" ht="15.75" x14ac:dyDescent="0.25">
      <c r="T190" s="390" t="s">
        <v>379</v>
      </c>
      <c r="U190" s="466" t="s">
        <v>1</v>
      </c>
      <c r="V190" s="401">
        <f>P79-P84</f>
        <v>2.0000000000000004E-2</v>
      </c>
      <c r="W190" s="390"/>
      <c r="Z190"/>
      <c r="AA190"/>
    </row>
    <row r="191" spans="20:27" ht="15.75" x14ac:dyDescent="0.25">
      <c r="T191" s="390" t="s">
        <v>149</v>
      </c>
      <c r="U191" s="466" t="s">
        <v>1</v>
      </c>
      <c r="V191" s="467">
        <f>V189+V190</f>
        <v>0.10000000000000007</v>
      </c>
      <c r="W191" s="390"/>
    </row>
    <row r="192" spans="20:27" ht="15.75" thickBot="1" x14ac:dyDescent="0.25"/>
    <row r="193" spans="18:23" ht="16.5" thickBot="1" x14ac:dyDescent="0.3">
      <c r="T193" s="2" t="s">
        <v>381</v>
      </c>
      <c r="U193" s="429"/>
      <c r="V193" s="429"/>
      <c r="W193" s="430"/>
    </row>
    <row r="194" spans="18:23" ht="30" x14ac:dyDescent="0.25">
      <c r="T194" s="379" t="s">
        <v>384</v>
      </c>
      <c r="U194" s="464" t="s">
        <v>382</v>
      </c>
      <c r="V194" s="464" t="s">
        <v>383</v>
      </c>
      <c r="W194" s="424" t="s">
        <v>226</v>
      </c>
    </row>
    <row r="195" spans="18:23" ht="15.75" x14ac:dyDescent="0.25">
      <c r="T195" s="390" t="s">
        <v>357</v>
      </c>
      <c r="U195" s="463">
        <f>V189</f>
        <v>8.0000000000000071E-2</v>
      </c>
      <c r="V195" s="463">
        <f>V191</f>
        <v>0.10000000000000007</v>
      </c>
      <c r="W195" s="455">
        <f>'Detailed Cash Flow'!$D$54</f>
        <v>76614.011202316717</v>
      </c>
    </row>
    <row r="196" spans="18:23" ht="15.75" x14ac:dyDescent="0.25">
      <c r="T196" s="402">
        <v>-0.02</v>
      </c>
      <c r="U196" s="431">
        <f t="dataTable" ref="U196:W200" dt2D="0" dtr="0" r1="V188" ca="1"/>
        <v>-3.9999999999995595E-4</v>
      </c>
      <c r="V196" s="431">
        <v>1.9600000000000048E-2</v>
      </c>
      <c r="W196" s="391">
        <v>85047.600466699616</v>
      </c>
    </row>
    <row r="197" spans="18:23" ht="15.75" x14ac:dyDescent="0.25">
      <c r="T197" s="402">
        <v>0</v>
      </c>
      <c r="U197" s="431">
        <v>2.0000000000000018E-2</v>
      </c>
      <c r="V197" s="431">
        <v>4.0000000000000022E-2</v>
      </c>
      <c r="W197" s="391">
        <v>82747.550753442556</v>
      </c>
    </row>
    <row r="198" spans="18:23" ht="15.75" x14ac:dyDescent="0.25">
      <c r="T198" s="402">
        <v>0.02</v>
      </c>
      <c r="U198" s="431">
        <v>4.0399999999999991E-2</v>
      </c>
      <c r="V198" s="431">
        <v>6.0399999999999995E-2</v>
      </c>
      <c r="W198" s="392">
        <v>80557.865713767445</v>
      </c>
    </row>
    <row r="199" spans="18:23" ht="15.75" x14ac:dyDescent="0.25">
      <c r="T199" s="402">
        <v>3.9999999999999994E-2</v>
      </c>
      <c r="U199" s="431">
        <v>6.0799999999999965E-2</v>
      </c>
      <c r="V199" s="431">
        <v>8.0799999999999969E-2</v>
      </c>
      <c r="W199" s="391">
        <v>78476.668277941193</v>
      </c>
    </row>
    <row r="200" spans="18:23" ht="15.75" x14ac:dyDescent="0.25">
      <c r="T200" s="402">
        <v>0.06</v>
      </c>
      <c r="U200" s="431">
        <v>8.1200000000000161E-2</v>
      </c>
      <c r="V200" s="431">
        <v>0.10120000000000016</v>
      </c>
      <c r="W200" s="391">
        <v>76500.605783616527</v>
      </c>
    </row>
    <row r="204" spans="18:23" ht="15.75" x14ac:dyDescent="0.25">
      <c r="R204" s="390" t="s">
        <v>388</v>
      </c>
      <c r="S204" s="390"/>
      <c r="T204" s="390"/>
      <c r="U204" s="390"/>
    </row>
    <row r="205" spans="18:23" ht="15.75" x14ac:dyDescent="0.25">
      <c r="R205" s="390"/>
      <c r="S205" s="468" t="s">
        <v>364</v>
      </c>
      <c r="T205" s="390" t="s">
        <v>363</v>
      </c>
      <c r="U205" s="390"/>
    </row>
    <row r="206" spans="18:23" ht="15.75" x14ac:dyDescent="0.25">
      <c r="R206" s="390"/>
      <c r="S206" s="399">
        <f>U174</f>
        <v>0</v>
      </c>
      <c r="T206" s="390" t="s">
        <v>675</v>
      </c>
      <c r="U206" s="391">
        <f>V175-V174</f>
        <v>0</v>
      </c>
    </row>
    <row r="207" spans="18:23" ht="15.75" x14ac:dyDescent="0.25">
      <c r="R207" s="390"/>
      <c r="S207" s="390">
        <f>U156</f>
        <v>20</v>
      </c>
      <c r="T207" s="390" t="s">
        <v>369</v>
      </c>
      <c r="U207" s="391">
        <f>V157-V156</f>
        <v>798.65530759570538</v>
      </c>
    </row>
    <row r="208" spans="18:23" ht="15.75" x14ac:dyDescent="0.25">
      <c r="R208" s="390"/>
      <c r="S208" s="391">
        <f>U165</f>
        <v>90.909090909090921</v>
      </c>
      <c r="T208" s="390" t="s">
        <v>365</v>
      </c>
      <c r="U208" s="391">
        <f>V166-V165</f>
        <v>0</v>
      </c>
    </row>
    <row r="209" spans="18:21" ht="15.75" x14ac:dyDescent="0.25">
      <c r="R209" s="390"/>
      <c r="S209" s="469">
        <f>U183</f>
        <v>0.02</v>
      </c>
      <c r="T209" s="390" t="s">
        <v>366</v>
      </c>
      <c r="U209" s="391">
        <f>V184-V183</f>
        <v>0</v>
      </c>
    </row>
    <row r="210" spans="18:21" ht="15.75" x14ac:dyDescent="0.25">
      <c r="R210" s="390"/>
      <c r="S210" s="391">
        <f>Z156</f>
        <v>0</v>
      </c>
      <c r="T210" s="390" t="s">
        <v>367</v>
      </c>
      <c r="U210" s="391">
        <f>AA157-AA156</f>
        <v>0</v>
      </c>
    </row>
    <row r="211" spans="18:21" ht="15.75" x14ac:dyDescent="0.25">
      <c r="R211" s="390"/>
      <c r="S211" s="391">
        <f>Z146</f>
        <v>22562.149792143609</v>
      </c>
      <c r="T211" s="390" t="s">
        <v>368</v>
      </c>
      <c r="U211" s="391">
        <f>AA147-AA146</f>
        <v>5916.4388987425773</v>
      </c>
    </row>
    <row r="212" spans="18:21" ht="15.75" x14ac:dyDescent="0.25">
      <c r="R212" s="390"/>
    </row>
    <row r="213" spans="18:21" ht="15.75" x14ac:dyDescent="0.25">
      <c r="R213" s="390"/>
      <c r="S213" s="390"/>
      <c r="T213" s="390"/>
      <c r="U213" s="390"/>
    </row>
    <row r="214" spans="18:21" ht="15.75" x14ac:dyDescent="0.25">
      <c r="R214" s="390"/>
      <c r="S214" s="390"/>
      <c r="T214" s="390"/>
      <c r="U214" s="390"/>
    </row>
    <row r="215" spans="18:21" ht="15.75" x14ac:dyDescent="0.25">
      <c r="R215" s="390">
        <v>1</v>
      </c>
      <c r="S215" s="390"/>
      <c r="T215" s="390" t="str">
        <f t="shared" ref="T215:T220" si="6">INDEX($T$206:$T$211,MATCH(U215,$U$206:$U$211,0))</f>
        <v>Grant, %</v>
      </c>
      <c r="U215" s="391">
        <f t="shared" ref="U215:U220" si="7">SMALL($U$206:$U$211,R215)</f>
        <v>0</v>
      </c>
    </row>
    <row r="216" spans="18:21" ht="15.75" x14ac:dyDescent="0.25">
      <c r="R216" s="390">
        <v>2</v>
      </c>
      <c r="S216" s="390"/>
      <c r="T216" s="390" t="str">
        <f t="shared" si="6"/>
        <v>Grant, %</v>
      </c>
      <c r="U216" s="391">
        <f t="shared" si="7"/>
        <v>0</v>
      </c>
    </row>
    <row r="217" spans="18:21" ht="15.75" x14ac:dyDescent="0.25">
      <c r="R217" s="390">
        <v>3</v>
      </c>
      <c r="S217" s="390"/>
      <c r="T217" s="390" t="str">
        <f t="shared" si="6"/>
        <v>Grant, %</v>
      </c>
      <c r="U217" s="391">
        <f t="shared" si="7"/>
        <v>0</v>
      </c>
    </row>
    <row r="218" spans="18:21" ht="15.75" x14ac:dyDescent="0.25">
      <c r="R218" s="390">
        <v>4</v>
      </c>
      <c r="S218" s="390"/>
      <c r="T218" s="390" t="str">
        <f t="shared" si="6"/>
        <v>Grant, %</v>
      </c>
      <c r="U218" s="391">
        <f t="shared" si="7"/>
        <v>0</v>
      </c>
    </row>
    <row r="219" spans="18:21" ht="15.75" x14ac:dyDescent="0.25">
      <c r="R219" s="390">
        <v>5</v>
      </c>
      <c r="S219" s="390"/>
      <c r="T219" s="390" t="str">
        <f t="shared" si="6"/>
        <v>Useful life, yrs</v>
      </c>
      <c r="U219" s="391">
        <f t="shared" si="7"/>
        <v>798.65530759570538</v>
      </c>
    </row>
    <row r="220" spans="18:21" ht="15.75" x14ac:dyDescent="0.25">
      <c r="R220" s="390">
        <v>6</v>
      </c>
      <c r="S220" s="390"/>
      <c r="T220" s="390" t="str">
        <f t="shared" si="6"/>
        <v>Fertilizer, $/yr</v>
      </c>
      <c r="U220" s="391">
        <f t="shared" si="7"/>
        <v>5916.4388987425773</v>
      </c>
    </row>
    <row r="221" spans="18:21" ht="15.75" x14ac:dyDescent="0.25">
      <c r="R221" s="390"/>
      <c r="S221" s="390"/>
      <c r="T221" s="390"/>
      <c r="U221" s="391"/>
    </row>
    <row r="222" spans="18:21" ht="15.75" x14ac:dyDescent="0.25">
      <c r="R222" s="390"/>
      <c r="S222" s="390"/>
      <c r="T222" s="390"/>
      <c r="U222" s="390"/>
    </row>
    <row r="226" spans="5:5" ht="15.75" x14ac:dyDescent="0.25">
      <c r="E226" s="443"/>
    </row>
    <row r="246" spans="5:7" ht="15.75" x14ac:dyDescent="0.25">
      <c r="E246" s="734"/>
      <c r="F246" s="734"/>
      <c r="G246" s="734"/>
    </row>
  </sheetData>
  <sheetProtection sheet="1" objects="1" scenarios="1"/>
  <protectedRanges>
    <protectedRange sqref="P144:P146" name="Column Q Inputs"/>
    <protectedRange sqref="O20:O21 Q108 S108:Y108 AA107:AB108 Q107:Y107 O107:P108" name="Depreciation Inputs"/>
    <protectedRange sqref="V188:V189 G9 G20:G21 P26 V191 P82:P84 P77:P80 P15 P11 P13 P74:P75 G15:G17 G28:G30" name="Column G Inputs"/>
    <protectedRange sqref="P142:P143" name="Column Q Inputs_1"/>
    <protectedRange sqref="G10" name="Column G Inputs_1"/>
  </protectedRanges>
  <mergeCells count="4">
    <mergeCell ref="Q108:S108"/>
    <mergeCell ref="C2:S2"/>
    <mergeCell ref="Q106:S106"/>
    <mergeCell ref="Q107:S107"/>
  </mergeCells>
  <conditionalFormatting sqref="C9">
    <cfRule type="expression" dxfId="91" priority="149">
      <formula>$D$9=1</formula>
    </cfRule>
  </conditionalFormatting>
  <conditionalFormatting sqref="C15">
    <cfRule type="expression" dxfId="90" priority="5740">
      <formula>$G$15&gt;=0</formula>
    </cfRule>
  </conditionalFormatting>
  <conditionalFormatting sqref="C16:C17 L75">
    <cfRule type="expression" dxfId="89" priority="165">
      <formula>#REF!="Simple"</formula>
    </cfRule>
  </conditionalFormatting>
  <conditionalFormatting sqref="C16:C17">
    <cfRule type="expression" dxfId="88" priority="162">
      <formula>$G16&lt;0</formula>
    </cfRule>
  </conditionalFormatting>
  <conditionalFormatting sqref="C20">
    <cfRule type="expression" dxfId="87" priority="6317">
      <formula>$G$20&lt;=0</formula>
    </cfRule>
  </conditionalFormatting>
  <conditionalFormatting sqref="C20:C21">
    <cfRule type="expression" dxfId="86" priority="6792">
      <formula>#REF!="Simple"</formula>
    </cfRule>
  </conditionalFormatting>
  <conditionalFormatting sqref="C21">
    <cfRule type="expression" dxfId="85" priority="6793">
      <formula>AND(#REF!="Intermediate",$G$21&gt;=0)</formula>
    </cfRule>
  </conditionalFormatting>
  <conditionalFormatting sqref="C28:C29">
    <cfRule type="expression" dxfId="84" priority="251">
      <formula>$D$28=1</formula>
    </cfRule>
  </conditionalFormatting>
  <conditionalFormatting sqref="C30">
    <cfRule type="expression" dxfId="83" priority="239">
      <formula>$G$30&lt;0</formula>
    </cfRule>
  </conditionalFormatting>
  <conditionalFormatting sqref="C43">
    <cfRule type="expression" dxfId="82" priority="6803">
      <formula>$G$43&lt;$P$79</formula>
    </cfRule>
  </conditionalFormatting>
  <conditionalFormatting sqref="E16:G17 N75:P75">
    <cfRule type="expression" dxfId="80" priority="494">
      <formula>#REF!="Simple"</formula>
    </cfRule>
  </conditionalFormatting>
  <conditionalFormatting sqref="E20:G22">
    <cfRule type="expression" dxfId="79" priority="6795">
      <formula>#REF!="Simple"</formula>
    </cfRule>
  </conditionalFormatting>
  <conditionalFormatting sqref="E45:G45">
    <cfRule type="expression" dxfId="78" priority="6906">
      <formula>$P$82=0%</formula>
    </cfRule>
  </conditionalFormatting>
  <conditionalFormatting sqref="J100">
    <cfRule type="expression" dxfId="77" priority="6798">
      <formula>#REF!="Simple"</formula>
    </cfRule>
  </conditionalFormatting>
  <conditionalFormatting sqref="J101:J102">
    <cfRule type="expression" dxfId="76" priority="6799">
      <formula>#REF!="Intermediate"</formula>
    </cfRule>
  </conditionalFormatting>
  <conditionalFormatting sqref="L11">
    <cfRule type="expression" dxfId="75" priority="238">
      <formula>$P$11=""</formula>
    </cfRule>
  </conditionalFormatting>
  <conditionalFormatting sqref="L13">
    <cfRule type="expression" dxfId="74" priority="228">
      <formula>$P$13=""</formula>
    </cfRule>
  </conditionalFormatting>
  <conditionalFormatting sqref="L15">
    <cfRule type="expression" dxfId="73" priority="227">
      <formula>$P$15=""</formula>
    </cfRule>
  </conditionalFormatting>
  <conditionalFormatting sqref="L25">
    <cfRule type="expression" dxfId="72" priority="279">
      <formula>$P$25="Fail"</formula>
    </cfRule>
  </conditionalFormatting>
  <conditionalFormatting sqref="L25:L26 L28 L83 L80 C28:C29">
    <cfRule type="expression" dxfId="71" priority="5794">
      <formula>$P$82=0</formula>
    </cfRule>
  </conditionalFormatting>
  <conditionalFormatting sqref="L26">
    <cfRule type="expression" dxfId="70" priority="252">
      <formula>$P$26&lt;1</formula>
    </cfRule>
  </conditionalFormatting>
  <conditionalFormatting sqref="L28">
    <cfRule type="expression" dxfId="69" priority="278">
      <formula>$P$28="Fail"</formula>
    </cfRule>
  </conditionalFormatting>
  <conditionalFormatting sqref="L74">
    <cfRule type="expression" dxfId="68" priority="479">
      <formula>$P$74&gt;0</formula>
    </cfRule>
  </conditionalFormatting>
  <conditionalFormatting sqref="L75">
    <cfRule type="expression" dxfId="67" priority="6500">
      <formula>#REF!=""</formula>
    </cfRule>
  </conditionalFormatting>
  <conditionalFormatting sqref="L77">
    <cfRule type="expression" dxfId="66" priority="6862">
      <formula>$M$77=1</formula>
    </cfRule>
  </conditionalFormatting>
  <conditionalFormatting sqref="L77:L78">
    <cfRule type="expression" dxfId="65" priority="6909">
      <formula>$P$11="No"</formula>
    </cfRule>
  </conditionalFormatting>
  <conditionalFormatting sqref="L78">
    <cfRule type="expression" dxfId="64" priority="6864">
      <formula>$M$78=1</formula>
    </cfRule>
  </conditionalFormatting>
  <conditionalFormatting sqref="L80">
    <cfRule type="expression" dxfId="63" priority="253">
      <formula>$P$80&lt;1</formula>
    </cfRule>
  </conditionalFormatting>
  <conditionalFormatting sqref="L82">
    <cfRule type="expression" dxfId="62" priority="476">
      <formula>$M$82=1</formula>
    </cfRule>
  </conditionalFormatting>
  <conditionalFormatting sqref="L83">
    <cfRule type="expression" dxfId="61" priority="257">
      <formula>$M$83=1</formula>
    </cfRule>
    <cfRule type="expression" dxfId="60" priority="241">
      <formula>$P$82=0</formula>
    </cfRule>
  </conditionalFormatting>
  <conditionalFormatting sqref="N25">
    <cfRule type="expression" dxfId="59" priority="132">
      <formula>$P$25="Fail"</formula>
    </cfRule>
  </conditionalFormatting>
  <conditionalFormatting sqref="N28">
    <cfRule type="expression" dxfId="58" priority="131">
      <formula>$P$28="Fail"</formula>
    </cfRule>
  </conditionalFormatting>
  <conditionalFormatting sqref="N143">
    <cfRule type="expression" dxfId="57" priority="6800">
      <formula>#REF!="No"</formula>
    </cfRule>
  </conditionalFormatting>
  <conditionalFormatting sqref="N21:O21">
    <cfRule type="expression" dxfId="56" priority="117">
      <formula>$O$20="No"</formula>
    </cfRule>
  </conditionalFormatting>
  <conditionalFormatting sqref="N24:P28 Q19:Q23 E28:H29 N80:Q80 N83:Q84 U188:V188 T189:V189">
    <cfRule type="expression" dxfId="55" priority="6907">
      <formula>$P$82=0</formula>
    </cfRule>
  </conditionalFormatting>
  <conditionalFormatting sqref="N107:Q107 T107:AB107">
    <cfRule type="expression" dxfId="54" priority="6364">
      <formula>#REF!=0</formula>
    </cfRule>
  </conditionalFormatting>
  <conditionalFormatting sqref="N108:Q108 T108:AB108">
    <cfRule type="expression" dxfId="53" priority="6815">
      <formula>$K107=0</formula>
    </cfRule>
  </conditionalFormatting>
  <conditionalFormatting sqref="P25">
    <cfRule type="expression" dxfId="52" priority="461">
      <formula>$P$25="Fail"</formula>
    </cfRule>
  </conditionalFormatting>
  <conditionalFormatting sqref="P28">
    <cfRule type="expression" dxfId="51" priority="402">
      <formula>$P$28="Fail"</formula>
    </cfRule>
  </conditionalFormatting>
  <conditionalFormatting sqref="Q8 Q10:Q12 N13:P13 N15:P17 N77:Q78">
    <cfRule type="expression" dxfId="50" priority="6910">
      <formula>$P$11="No"</formula>
    </cfRule>
  </conditionalFormatting>
  <conditionalFormatting sqref="Q16">
    <cfRule type="expression" dxfId="49" priority="6915">
      <formula>$O$21="No"</formula>
    </cfRule>
  </conditionalFormatting>
  <conditionalFormatting sqref="Q20 Q23">
    <cfRule type="expression" dxfId="48" priority="6918">
      <formula>$P25="Fail"</formula>
    </cfRule>
  </conditionalFormatting>
  <conditionalFormatting sqref="T109:Y109 AA109:AB109 N109:Q110 T110:AD110">
    <cfRule type="expression" dxfId="47" priority="170">
      <formula>#REF!=0</formula>
    </cfRule>
  </conditionalFormatting>
  <conditionalFormatting sqref="Z109 AF110">
    <cfRule type="expression" dxfId="46" priority="175">
      <formula>#REF!=0</formula>
    </cfRule>
  </conditionalFormatting>
  <dataValidations count="5">
    <dataValidation type="list" allowBlank="1" showInputMessage="1" showErrorMessage="1" sqref="O20 P11" xr:uid="{00000000-0002-0000-0100-000001000000}">
      <formula1>"Yes, No"</formula1>
    </dataValidation>
    <dataValidation type="list" allowBlank="1" showInputMessage="1" showErrorMessage="1" sqref="P13 P15" xr:uid="{00000000-0002-0000-0100-000007000000}">
      <formula1>"As Generated, Carried Forward"</formula1>
    </dataValidation>
    <dataValidation errorStyle="warning" allowBlank="1" showInputMessage="1" showErrorMessage="1" sqref="P25" xr:uid="{00000000-0002-0000-0100-000008000000}"/>
    <dataValidation errorStyle="warning" operator="greaterThanOrEqual" allowBlank="1" showInputMessage="1" showErrorMessage="1" errorTitle="test" error="test" sqref="P80" xr:uid="{00000000-0002-0000-0100-00000A000000}"/>
    <dataValidation type="decimal" errorStyle="warning" operator="greaterThanOrEqual" allowBlank="1" showInputMessage="1" showErrorMessage="1" errorTitle="Project Fails to Meet DSCR" error="This project's cash flow is insufficient to support the amount of user-defined debt, and fails to meet the lender's requirements.    _x000a_Please read the note field(s) highlighted in yellow for options to cure this deficiency._x000a_" sqref="P27" xr:uid="{00000000-0002-0000-0100-000000000000}">
      <formula1>P26</formula1>
    </dataValidation>
  </dataValidations>
  <hyperlinks>
    <hyperlink ref="N109" location="'Complex Inputs'!A114" display="'Complex Inputs'!A114" xr:uid="{00000000-0004-0000-0100-000002000000}"/>
  </hyperlinks>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6712" id="{910E3969-BFEB-4E79-90FE-34200CB6541B}">
            <xm:f>'Key inputs &amp; Outputs'!$F$15="No"</xm:f>
            <x14:dxf>
              <font>
                <color theme="0" tint="-0.14996795556505021"/>
              </font>
              <fill>
                <patternFill>
                  <bgColor theme="0" tint="-0.14996795556505021"/>
                </patternFill>
              </fill>
            </x14:dxf>
          </x14:cfRule>
          <xm:sqref>E16:G17 N75:P75</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A70557-9390-4AD3-88F8-C4CE71F5CDAB}">
  <sheetPr>
    <tabColor rgb="FFFFFF00"/>
  </sheetPr>
  <dimension ref="A1:M92"/>
  <sheetViews>
    <sheetView topLeftCell="A18" workbookViewId="0">
      <selection activeCell="E34" sqref="E34"/>
    </sheetView>
  </sheetViews>
  <sheetFormatPr defaultRowHeight="15" x14ac:dyDescent="0.25"/>
  <cols>
    <col min="1" max="1" width="7.7109375" customWidth="1"/>
    <col min="2" max="2" width="1.5703125" customWidth="1"/>
    <col min="3" max="3" width="59.85546875" customWidth="1"/>
    <col min="4" max="8" width="20.7109375" customWidth="1"/>
  </cols>
  <sheetData>
    <row r="1" spans="1:13" ht="15.75" thickBot="1" x14ac:dyDescent="0.3"/>
    <row r="2" spans="1:13" ht="15.75" x14ac:dyDescent="0.25">
      <c r="A2" s="1"/>
      <c r="B2" s="222"/>
      <c r="C2" s="323" t="s">
        <v>561</v>
      </c>
      <c r="D2" s="324"/>
      <c r="E2" s="325"/>
      <c r="F2" s="1"/>
      <c r="G2" s="1"/>
    </row>
    <row r="3" spans="1:13" ht="15.75" x14ac:dyDescent="0.25">
      <c r="A3" s="1"/>
      <c r="B3" s="1"/>
      <c r="C3" s="214" t="s">
        <v>733</v>
      </c>
      <c r="D3" s="461" t="s">
        <v>331</v>
      </c>
      <c r="E3" s="879">
        <f>'Key inputs &amp; Outputs'!F4*'Key inputs &amp; Outputs'!F5*365/'Nutrient calculations'!Y7</f>
        <v>8000038.7700534752</v>
      </c>
      <c r="F3" s="619" t="s">
        <v>6</v>
      </c>
      <c r="G3" s="1"/>
    </row>
    <row r="4" spans="1:13" ht="15.75" x14ac:dyDescent="0.25">
      <c r="B4" s="1"/>
      <c r="C4" s="359" t="s">
        <v>510</v>
      </c>
      <c r="D4" s="481" t="s">
        <v>632</v>
      </c>
      <c r="E4" s="718">
        <v>0.13</v>
      </c>
      <c r="F4" s="9" t="s">
        <v>6</v>
      </c>
      <c r="G4" s="1"/>
    </row>
    <row r="5" spans="1:13" ht="15.75" x14ac:dyDescent="0.25">
      <c r="B5" s="1"/>
      <c r="C5" s="372" t="str">
        <f>'Key inputs &amp; Outputs'!D7</f>
        <v>Digestate liquid volume returned from digester</v>
      </c>
      <c r="D5" s="461" t="s">
        <v>331</v>
      </c>
      <c r="E5" s="879">
        <f>G43*1000/G42</f>
        <v>7030456.606443475</v>
      </c>
      <c r="F5" s="9" t="s">
        <v>6</v>
      </c>
      <c r="G5" s="1"/>
    </row>
    <row r="6" spans="1:13" ht="15.75" x14ac:dyDescent="0.25">
      <c r="B6" s="1"/>
      <c r="C6" s="359" t="str">
        <f>IF('Key inputs &amp; Outputs'!F8="No","Digestate solids content","Digestate liquid solids content")</f>
        <v>Digestate liquid solids content</v>
      </c>
      <c r="D6" s="481" t="s">
        <v>632</v>
      </c>
      <c r="E6" s="718">
        <f>E4</f>
        <v>0.13</v>
      </c>
      <c r="G6" s="1"/>
    </row>
    <row r="7" spans="1:13" ht="15.75" x14ac:dyDescent="0.25">
      <c r="B7" s="1"/>
      <c r="C7" s="920" t="s">
        <v>668</v>
      </c>
      <c r="D7" s="886"/>
      <c r="E7" s="921" t="str">
        <f>'Key inputs &amp; Outputs'!F8</f>
        <v>Yes</v>
      </c>
      <c r="G7" s="1"/>
      <c r="M7" s="816"/>
    </row>
    <row r="8" spans="1:13" ht="15.75" x14ac:dyDescent="0.25">
      <c r="B8" s="1"/>
      <c r="C8" s="359" t="s">
        <v>790</v>
      </c>
      <c r="D8" s="481" t="s">
        <v>631</v>
      </c>
      <c r="E8" s="922">
        <v>0.75</v>
      </c>
      <c r="F8" s="9" t="s">
        <v>6</v>
      </c>
      <c r="G8" s="1"/>
    </row>
    <row r="9" spans="1:13" ht="15.75" x14ac:dyDescent="0.25">
      <c r="B9" s="436"/>
      <c r="C9" s="359" t="str">
        <f>"Total solids in "&amp;M11&amp;" % of feedstock"</f>
        <v>Total solids in digestate liquid &amp; bedding % of feedstock</v>
      </c>
      <c r="D9" s="481" t="s">
        <v>362</v>
      </c>
      <c r="E9" s="800">
        <f>'Nutrient calculations'!N33*365</f>
        <v>2917.2141375000001</v>
      </c>
      <c r="G9" s="1"/>
      <c r="M9" s="590">
        <f>'Key inputs &amp; Outputs'!F14+1</f>
        <v>2</v>
      </c>
    </row>
    <row r="10" spans="1:13" ht="15.75" x14ac:dyDescent="0.25">
      <c r="B10" s="436"/>
      <c r="C10" s="359" t="s">
        <v>792</v>
      </c>
      <c r="D10" s="481" t="s">
        <v>331</v>
      </c>
      <c r="E10" s="923">
        <f>'Nutrient calculations'!N41</f>
        <v>7030456.6064434741</v>
      </c>
      <c r="G10" s="1"/>
      <c r="M10" s="816" t="str">
        <f>IF('Key inputs &amp; Outputs'!F8="Yes","Digestate liquid","Digestate")</f>
        <v>Digestate liquid</v>
      </c>
    </row>
    <row r="11" spans="1:13" ht="15.75" x14ac:dyDescent="0.25">
      <c r="B11" s="436"/>
      <c r="C11" s="925" t="str">
        <f>"Total solids &amp; liquid in "&amp;M11</f>
        <v>Total solids &amp; liquid in digestate liquid &amp; bedding</v>
      </c>
      <c r="D11" s="481" t="s">
        <v>331</v>
      </c>
      <c r="E11" s="800">
        <f>'Nutrient calculations'!N41</f>
        <v>7030456.6064434741</v>
      </c>
      <c r="G11" s="1"/>
      <c r="M11" s="816" t="str">
        <f>IF('Key inputs &amp; Outputs'!F8="Yes","digestate liquid &amp; bedding","digestate")</f>
        <v>digestate liquid &amp; bedding</v>
      </c>
    </row>
    <row r="12" spans="1:13" ht="15.75" x14ac:dyDescent="0.25">
      <c r="B12" s="436"/>
      <c r="C12" s="372" t="s">
        <v>723</v>
      </c>
      <c r="D12" s="943" t="s">
        <v>362</v>
      </c>
      <c r="E12" s="923">
        <f>'Nutrient calculations'!W47/'Nutrient Inputs'!G49</f>
        <v>2465.2513838028167</v>
      </c>
      <c r="F12" s="9" t="s">
        <v>6</v>
      </c>
      <c r="G12" s="1"/>
    </row>
    <row r="13" spans="1:13" ht="15.75" x14ac:dyDescent="0.25">
      <c r="B13" s="436"/>
      <c r="G13" s="1"/>
    </row>
    <row r="14" spans="1:13" ht="15.75" x14ac:dyDescent="0.25">
      <c r="B14" s="436"/>
      <c r="C14" s="359" t="s">
        <v>795</v>
      </c>
      <c r="D14" s="481" t="s">
        <v>793</v>
      </c>
      <c r="E14" s="922">
        <v>0.45</v>
      </c>
      <c r="F14" s="1"/>
      <c r="G14" s="1"/>
    </row>
    <row r="15" spans="1:13" ht="15.75" x14ac:dyDescent="0.25">
      <c r="B15" s="436"/>
      <c r="C15" s="359" t="s">
        <v>796</v>
      </c>
      <c r="D15" s="481" t="s">
        <v>793</v>
      </c>
      <c r="E15" s="922">
        <v>0</v>
      </c>
      <c r="F15" s="1"/>
      <c r="G15" s="1"/>
    </row>
    <row r="16" spans="1:13" ht="15.75" x14ac:dyDescent="0.25">
      <c r="B16" s="436"/>
      <c r="C16" s="359" t="s">
        <v>797</v>
      </c>
      <c r="D16" s="481" t="s">
        <v>793</v>
      </c>
      <c r="E16" s="922">
        <v>0.45</v>
      </c>
      <c r="F16" s="1"/>
      <c r="G16" s="1"/>
    </row>
    <row r="17" spans="1:9" ht="15.75" x14ac:dyDescent="0.25">
      <c r="B17" s="436"/>
      <c r="C17" s="359" t="s">
        <v>798</v>
      </c>
      <c r="D17" s="924" t="s">
        <v>794</v>
      </c>
      <c r="E17" s="922">
        <v>0.5</v>
      </c>
      <c r="F17" s="9" t="s">
        <v>6</v>
      </c>
      <c r="G17" s="1"/>
    </row>
    <row r="18" spans="1:9" ht="15.75" x14ac:dyDescent="0.25">
      <c r="B18" s="1"/>
      <c r="C18" s="359" t="str">
        <f>IF('Key inputs &amp; Outputs'!F8="Yes","Digestate liquid % solids","Digestate % solids")</f>
        <v>Digestate liquid % solids</v>
      </c>
      <c r="D18" s="481" t="s">
        <v>632</v>
      </c>
      <c r="E18" s="605">
        <v>0.03</v>
      </c>
      <c r="F18" s="9" t="s">
        <v>6</v>
      </c>
      <c r="G18" s="1"/>
    </row>
    <row r="19" spans="1:9" ht="15.75" x14ac:dyDescent="0.25">
      <c r="B19" s="436"/>
      <c r="C19" s="372" t="str">
        <f>M10&amp;" solids volume"</f>
        <v>Digestate liquid solids volume</v>
      </c>
      <c r="D19" s="481" t="s">
        <v>362</v>
      </c>
      <c r="E19" s="801">
        <f>'Nutrient calculations'!N39*365</f>
        <v>788.81723124295775</v>
      </c>
      <c r="G19" s="1"/>
    </row>
    <row r="20" spans="1:9" ht="15.75" x14ac:dyDescent="0.25">
      <c r="B20" s="436"/>
      <c r="C20" s="372" t="s">
        <v>825</v>
      </c>
      <c r="D20" s="481" t="s">
        <v>362</v>
      </c>
      <c r="E20" s="801">
        <f>'Nutrient calculations'!X40</f>
        <v>2465.2513838028167</v>
      </c>
      <c r="G20" s="1"/>
    </row>
    <row r="21" spans="1:9" ht="15.75" x14ac:dyDescent="0.25">
      <c r="B21" s="436"/>
      <c r="C21" s="359" t="s">
        <v>679</v>
      </c>
      <c r="D21" s="481" t="s">
        <v>632</v>
      </c>
      <c r="E21" s="718">
        <v>0.35499999999999998</v>
      </c>
      <c r="F21" s="9" t="s">
        <v>6</v>
      </c>
      <c r="G21" s="1"/>
    </row>
    <row r="22" spans="1:9" ht="15.75" x14ac:dyDescent="0.25">
      <c r="B22" s="1"/>
      <c r="C22" s="359" t="s">
        <v>680</v>
      </c>
      <c r="D22" s="481" t="s">
        <v>362</v>
      </c>
      <c r="E22" s="820">
        <f>'Nutrient calculations'!X40*E21</f>
        <v>875.16424124999992</v>
      </c>
      <c r="F22" s="1"/>
      <c r="G22" s="370"/>
    </row>
    <row r="23" spans="1:9" ht="15.75" x14ac:dyDescent="0.25">
      <c r="B23" s="1"/>
      <c r="C23" s="359" t="str">
        <f>"Total N in "&amp;M11&amp;" % of feedstock"</f>
        <v>Total N in digestate liquid &amp; bedding % of feedstock</v>
      </c>
      <c r="D23" s="481" t="s">
        <v>631</v>
      </c>
      <c r="E23" s="718">
        <v>1</v>
      </c>
      <c r="F23" s="9" t="s">
        <v>6</v>
      </c>
      <c r="G23" s="370"/>
    </row>
    <row r="24" spans="1:9" ht="15.75" x14ac:dyDescent="0.25">
      <c r="B24" s="1"/>
      <c r="C24" s="359" t="s">
        <v>669</v>
      </c>
      <c r="D24" s="481" t="s">
        <v>633</v>
      </c>
      <c r="E24" s="718">
        <v>0.3</v>
      </c>
      <c r="F24" s="9" t="s">
        <v>6</v>
      </c>
      <c r="G24" s="370"/>
    </row>
    <row r="25" spans="1:9" ht="16.5" thickBot="1" x14ac:dyDescent="0.3">
      <c r="B25" s="1"/>
      <c r="C25" s="436"/>
      <c r="D25" s="436"/>
      <c r="E25" s="436"/>
      <c r="G25" s="370"/>
    </row>
    <row r="26" spans="1:9" ht="16.5" thickBot="1" x14ac:dyDescent="0.3">
      <c r="A26" s="1"/>
      <c r="B26" s="1"/>
      <c r="C26" s="2" t="str">
        <f>IF('Key inputs &amp; Outputs'!F8="Yes","Cropland application of manure, digestate liquid and/or bedding","Cropland application of manure or digestate")</f>
        <v>Cropland application of manure, digestate liquid and/or bedding</v>
      </c>
      <c r="D26" s="252"/>
      <c r="E26" s="291"/>
      <c r="F26" s="1"/>
      <c r="G26" s="436"/>
      <c r="H26" s="436"/>
      <c r="I26" s="436"/>
    </row>
    <row r="27" spans="1:9" ht="15.75" x14ac:dyDescent="0.25">
      <c r="A27" s="1"/>
      <c r="B27" s="1"/>
      <c r="C27" s="621" t="s">
        <v>604</v>
      </c>
      <c r="D27" s="622" t="s">
        <v>660</v>
      </c>
      <c r="E27" s="814">
        <f>'Key inputs &amp; Outputs'!F13</f>
        <v>1500</v>
      </c>
      <c r="F27" s="1"/>
      <c r="G27" s="436"/>
      <c r="H27" s="436"/>
      <c r="I27" s="436"/>
    </row>
    <row r="28" spans="1:9" ht="15.75" x14ac:dyDescent="0.25">
      <c r="A28" s="1"/>
      <c r="B28" s="1"/>
      <c r="C28" s="621" t="s">
        <v>661</v>
      </c>
      <c r="D28" s="811" t="s">
        <v>667</v>
      </c>
      <c r="E28" s="815">
        <f>'Nutrient Inputs'!M9</f>
        <v>2</v>
      </c>
      <c r="F28" s="1"/>
      <c r="G28" s="436"/>
      <c r="H28" s="436"/>
      <c r="I28" s="436"/>
    </row>
    <row r="29" spans="1:9" ht="15.75" x14ac:dyDescent="0.25">
      <c r="A29" s="1"/>
      <c r="B29" s="1"/>
      <c r="C29" s="906"/>
      <c r="D29" s="952"/>
      <c r="E29" s="953"/>
      <c r="F29" s="954" t="s">
        <v>826</v>
      </c>
      <c r="G29" s="955"/>
      <c r="H29" s="955"/>
      <c r="I29" s="436"/>
    </row>
    <row r="30" spans="1:9" ht="15.75" x14ac:dyDescent="0.25">
      <c r="A30" s="1"/>
      <c r="B30" s="1"/>
      <c r="C30" s="956" t="s">
        <v>827</v>
      </c>
      <c r="D30" s="952"/>
      <c r="E30" s="967"/>
      <c r="F30" s="973">
        <v>3000</v>
      </c>
      <c r="G30" s="974">
        <v>6000</v>
      </c>
      <c r="H30" s="974">
        <v>9000</v>
      </c>
      <c r="I30" s="436"/>
    </row>
    <row r="31" spans="1:9" ht="15.75" x14ac:dyDescent="0.25">
      <c r="A31" s="1"/>
      <c r="B31" s="1"/>
      <c r="C31" s="621" t="s">
        <v>776</v>
      </c>
      <c r="D31" s="909" t="s">
        <v>0</v>
      </c>
      <c r="E31" s="968">
        <v>30</v>
      </c>
      <c r="F31" s="970">
        <f>$E$31+$E$32*F30/1000</f>
        <v>54</v>
      </c>
      <c r="G31" s="971">
        <f>$E$31+$E$32*G30/1000</f>
        <v>78</v>
      </c>
      <c r="H31" s="971">
        <f>$E$31+$E$32*H30/1000</f>
        <v>102</v>
      </c>
      <c r="I31" s="802" t="s">
        <v>6</v>
      </c>
    </row>
    <row r="32" spans="1:9" ht="15.75" x14ac:dyDescent="0.25">
      <c r="A32" s="1"/>
      <c r="B32" s="1"/>
      <c r="C32" s="214" t="s">
        <v>514</v>
      </c>
      <c r="D32" s="620" t="s">
        <v>0</v>
      </c>
      <c r="E32" s="799">
        <v>8</v>
      </c>
      <c r="G32" s="436"/>
      <c r="H32" s="436"/>
      <c r="I32" s="619" t="s">
        <v>6</v>
      </c>
    </row>
    <row r="33" spans="1:10" ht="15.75" x14ac:dyDescent="0.25">
      <c r="A33" s="1"/>
      <c r="B33" s="1"/>
      <c r="C33" s="906"/>
      <c r="D33" s="906"/>
      <c r="E33" s="906"/>
      <c r="F33" s="957" t="s">
        <v>828</v>
      </c>
      <c r="G33" s="958"/>
      <c r="H33" s="958"/>
    </row>
    <row r="34" spans="1:10" ht="15.75" x14ac:dyDescent="0.25">
      <c r="A34" s="1"/>
      <c r="B34" s="1"/>
      <c r="C34" s="906"/>
      <c r="D34" s="906"/>
      <c r="E34" s="906"/>
      <c r="F34" s="975">
        <v>10</v>
      </c>
      <c r="G34" s="975">
        <v>15</v>
      </c>
      <c r="H34" s="975">
        <v>20</v>
      </c>
      <c r="I34" s="436"/>
    </row>
    <row r="35" spans="1:10" ht="15.75" x14ac:dyDescent="0.25">
      <c r="A35" s="1"/>
      <c r="B35" s="1"/>
      <c r="C35" s="214" t="s">
        <v>618</v>
      </c>
      <c r="D35" s="620" t="s">
        <v>0</v>
      </c>
      <c r="E35" s="969">
        <v>6</v>
      </c>
      <c r="F35" s="971">
        <f>$E$35*F34</f>
        <v>60</v>
      </c>
      <c r="G35" s="972">
        <f t="shared" ref="G35:H35" si="0">$E$35*G34</f>
        <v>90</v>
      </c>
      <c r="H35" s="972">
        <f t="shared" si="0"/>
        <v>120</v>
      </c>
      <c r="I35" s="802" t="s">
        <v>6</v>
      </c>
    </row>
    <row r="36" spans="1:10" ht="15.75" x14ac:dyDescent="0.25">
      <c r="A36" s="1"/>
      <c r="B36" s="1"/>
      <c r="C36" s="108"/>
      <c r="D36" s="808"/>
      <c r="E36" s="787"/>
      <c r="F36" s="710"/>
      <c r="G36" s="436"/>
      <c r="H36" s="436"/>
      <c r="I36" s="436"/>
    </row>
    <row r="37" spans="1:10" ht="15.75" x14ac:dyDescent="0.25">
      <c r="A37" s="1"/>
      <c r="B37" s="1"/>
      <c r="C37" s="618" t="s">
        <v>770</v>
      </c>
      <c r="D37" s="108"/>
      <c r="E37" s="436"/>
      <c r="G37" s="436"/>
      <c r="H37" s="436"/>
      <c r="I37" s="436"/>
    </row>
    <row r="38" spans="1:10" ht="15.75" x14ac:dyDescent="0.25">
      <c r="A38" s="1"/>
      <c r="B38" s="1"/>
      <c r="C38" s="214" t="s">
        <v>771</v>
      </c>
      <c r="D38" s="461" t="s">
        <v>211</v>
      </c>
      <c r="E38" s="799">
        <v>30</v>
      </c>
      <c r="F38" s="619" t="s">
        <v>6</v>
      </c>
      <c r="G38" s="436"/>
      <c r="H38" s="436"/>
      <c r="I38" s="436"/>
    </row>
    <row r="39" spans="1:10" ht="15.75" x14ac:dyDescent="0.25">
      <c r="A39" s="1"/>
      <c r="B39" s="1"/>
      <c r="C39" s="370"/>
      <c r="D39" s="370"/>
      <c r="E39" s="370"/>
      <c r="F39" s="370"/>
      <c r="G39" s="370"/>
      <c r="H39" s="436"/>
      <c r="I39" s="436"/>
    </row>
    <row r="40" spans="1:10" ht="15.75" x14ac:dyDescent="0.25">
      <c r="A40" s="1"/>
      <c r="B40" s="1"/>
      <c r="C40" s="744"/>
      <c r="D40" s="745" t="s">
        <v>551</v>
      </c>
      <c r="E40" s="745" t="s">
        <v>605</v>
      </c>
      <c r="F40" s="745" t="s">
        <v>606</v>
      </c>
      <c r="G40" s="745" t="s">
        <v>549</v>
      </c>
      <c r="H40" s="745" t="s">
        <v>550</v>
      </c>
      <c r="I40" s="743" t="s">
        <v>6</v>
      </c>
    </row>
    <row r="41" spans="1:10" ht="15.75" x14ac:dyDescent="0.25">
      <c r="A41" s="1"/>
      <c r="B41" s="1"/>
      <c r="C41" s="359" t="s">
        <v>552</v>
      </c>
      <c r="D41" s="737">
        <v>34.19</v>
      </c>
      <c r="E41" s="737">
        <v>11.89</v>
      </c>
      <c r="F41" s="788">
        <f>MAX(D41-E41,0)</f>
        <v>22.299999999999997</v>
      </c>
      <c r="G41" s="737">
        <v>12.74</v>
      </c>
      <c r="H41" s="737">
        <v>27.68</v>
      </c>
      <c r="I41" s="9" t="s">
        <v>6</v>
      </c>
    </row>
    <row r="42" spans="1:10" ht="15.75" x14ac:dyDescent="0.25">
      <c r="A42" s="1"/>
      <c r="B42" s="1"/>
      <c r="C42" s="359" t="str">
        <f>IF('Key inputs &amp; Outputs'!F8="Yes","Digestate liquid, lb per 1,000 gal","Digestate, lb per 1,000 gal")</f>
        <v>Digestate liquid, lb per 1,000 gal</v>
      </c>
      <c r="D42" s="788">
        <f>'Nutrient calculations'!O44</f>
        <v>37.348992707749012</v>
      </c>
      <c r="E42" s="788">
        <f>'Nutrient calculations'!O45</f>
        <v>20.402415257632825</v>
      </c>
      <c r="F42" s="788">
        <f>MAX(D42-E42,0)</f>
        <v>16.946577450116187</v>
      </c>
      <c r="G42" s="788">
        <f>'Nutrient calculations'!O47</f>
        <v>12.032505809760396</v>
      </c>
      <c r="H42" s="788">
        <f>'Nutrient calculations'!O48</f>
        <v>29.922525843416935</v>
      </c>
      <c r="I42" s="9" t="s">
        <v>6</v>
      </c>
    </row>
    <row r="43" spans="1:10" ht="15.75" x14ac:dyDescent="0.25">
      <c r="A43" s="1"/>
      <c r="B43" s="1"/>
      <c r="C43" s="817" t="str">
        <f>IF('Key inputs &amp; Outputs'!F8="Yes","Digestate liquid nutrients returned from digester, lb","Digestate nutrients returned from digester, lb")</f>
        <v>Digestate liquid nutrients returned from digester, lb</v>
      </c>
      <c r="D43" s="360">
        <f>D42*$E$5/1000</f>
        <v>262580.4725262032</v>
      </c>
      <c r="E43" s="360">
        <f>E42*$E$5/1000</f>
        <v>143438.29513542782</v>
      </c>
      <c r="F43" s="360">
        <f>F42*$E$5/1000</f>
        <v>119142.17739077537</v>
      </c>
      <c r="G43" s="360">
        <f>'Nutrient calculations'!N47</f>
        <v>84594.00996229946</v>
      </c>
      <c r="H43" s="360">
        <f>H42*$E$5/1000</f>
        <v>210369.0194973262</v>
      </c>
      <c r="I43" s="866"/>
    </row>
    <row r="44" spans="1:10" ht="15.75" x14ac:dyDescent="0.25">
      <c r="A44" s="1"/>
      <c r="B44" s="1"/>
      <c r="C44" s="868" t="s">
        <v>726</v>
      </c>
      <c r="D44" s="873" t="s">
        <v>778</v>
      </c>
      <c r="E44" s="870"/>
      <c r="F44" s="870"/>
      <c r="G44" s="870"/>
      <c r="H44" s="870"/>
      <c r="I44" s="743" t="s">
        <v>6</v>
      </c>
    </row>
    <row r="45" spans="1:10" ht="15.75" x14ac:dyDescent="0.25">
      <c r="C45" s="359" t="s">
        <v>727</v>
      </c>
      <c r="D45" s="715">
        <v>0</v>
      </c>
      <c r="G45" s="869">
        <v>0</v>
      </c>
      <c r="H45" s="869">
        <v>0</v>
      </c>
      <c r="J45" t="str">
        <f>IF(AND(D44="Paid",OR(D45&lt;0,G45&lt;0,H45&lt;0)),"If you are paid for the nutrients, enter the prices as positive numbers",IF(AND(D44="Charged",OR(D45&gt;0,G45&gt;0,H45&gt;0)),"If you are charged for the nutrients, enter the prices as negative numbers",""))</f>
        <v/>
      </c>
    </row>
    <row r="46" spans="1:10" ht="15.75" x14ac:dyDescent="0.25">
      <c r="C46" s="359" t="s">
        <v>815</v>
      </c>
      <c r="D46" s="959">
        <f>10.7/(2000*0.844)</f>
        <v>6.3388625592417057E-3</v>
      </c>
      <c r="E46" s="959">
        <f>0.0039/(2000*0.844)</f>
        <v>2.31042654028436E-6</v>
      </c>
      <c r="F46" s="960">
        <f>'Nutrient Inputs'!D46-'Nutrient Inputs'!E46</f>
        <v>6.3365521327014215E-3</v>
      </c>
      <c r="G46" s="959">
        <f>2.91/(2000*0.844)</f>
        <v>1.7239336492890997E-3</v>
      </c>
      <c r="H46" s="959">
        <f>2.53/(2000*0.844)</f>
        <v>1.4988151658767771E-3</v>
      </c>
    </row>
    <row r="47" spans="1:10" ht="15.75" x14ac:dyDescent="0.25">
      <c r="C47" s="962"/>
      <c r="D47" s="963"/>
      <c r="E47" s="961"/>
      <c r="F47" s="961"/>
      <c r="G47" s="963"/>
      <c r="H47" s="963"/>
    </row>
    <row r="48" spans="1:10" ht="15.75" x14ac:dyDescent="0.25">
      <c r="C48" s="359" t="s">
        <v>799</v>
      </c>
      <c r="D48" s="926">
        <v>0.08</v>
      </c>
      <c r="E48" s="926">
        <v>7.0000000000000007E-2</v>
      </c>
      <c r="F48" s="927">
        <f>'Nutrient calculations'!T46</f>
        <v>0.95404868673926968</v>
      </c>
      <c r="G48" s="926">
        <v>0.34</v>
      </c>
      <c r="H48" s="926">
        <v>0.1</v>
      </c>
    </row>
    <row r="49" spans="1:9" ht="15.75" x14ac:dyDescent="0.25">
      <c r="A49" s="1"/>
      <c r="B49" s="1"/>
      <c r="C49" s="359" t="s">
        <v>687</v>
      </c>
      <c r="D49" s="788">
        <f>'Nutrient calculations'!X44*2000</f>
        <v>4.4380273321449826</v>
      </c>
      <c r="E49" s="788">
        <f>'Nutrient calculations'!X45*2000</f>
        <v>2.1103021161844699</v>
      </c>
      <c r="F49" s="788">
        <f>D49-E49</f>
        <v>2.3277252159605126</v>
      </c>
      <c r="G49" s="788">
        <f>'Nutrient calculations'!X47*2000</f>
        <v>7.0282828282828325</v>
      </c>
      <c r="H49" s="788">
        <f>'Nutrient calculations'!X48*2000</f>
        <v>4.4912473147767242</v>
      </c>
      <c r="I49" s="9" t="s">
        <v>6</v>
      </c>
    </row>
    <row r="50" spans="1:9" ht="15.75" x14ac:dyDescent="0.25">
      <c r="A50" s="1"/>
      <c r="B50" s="1"/>
      <c r="C50" s="359" t="s">
        <v>602</v>
      </c>
      <c r="D50" s="725">
        <f>(E41*E50+F41*F50)/D41</f>
        <v>0.36955250073120793</v>
      </c>
      <c r="E50" s="718">
        <v>0.5</v>
      </c>
      <c r="F50" s="718">
        <v>0.3</v>
      </c>
      <c r="G50" s="718">
        <v>0.8</v>
      </c>
      <c r="H50" s="718">
        <v>1</v>
      </c>
      <c r="I50" s="9" t="s">
        <v>6</v>
      </c>
    </row>
    <row r="51" spans="1:9" ht="15.75" x14ac:dyDescent="0.25">
      <c r="A51" s="1"/>
      <c r="B51" s="1"/>
      <c r="C51" s="359" t="str">
        <f>IF('Key inputs &amp; Outputs'!F8="Yes","Digestate liquid nutrient availability, %","Digestate nutrient availability, %")</f>
        <v>Digestate liquid nutrient availability, %</v>
      </c>
      <c r="D51" s="725">
        <f>IFERROR((E51*E42+F51*F42)/D42,0)</f>
        <v>0.40925282733742813</v>
      </c>
      <c r="E51" s="718">
        <v>0.5</v>
      </c>
      <c r="F51" s="718">
        <v>0.3</v>
      </c>
      <c r="G51" s="718">
        <v>0.8</v>
      </c>
      <c r="H51" s="718">
        <v>1</v>
      </c>
      <c r="I51" s="9" t="s">
        <v>6</v>
      </c>
    </row>
    <row r="52" spans="1:9" ht="15.75" x14ac:dyDescent="0.25">
      <c r="A52" s="1"/>
      <c r="B52" s="1"/>
      <c r="C52" s="359" t="s">
        <v>681</v>
      </c>
      <c r="D52" s="725">
        <f>IFERROR((E52*E49+F52*F49)/D49,0)</f>
        <v>0.39510090669786485</v>
      </c>
      <c r="E52" s="718">
        <v>0.5</v>
      </c>
      <c r="F52" s="718">
        <v>0.3</v>
      </c>
      <c r="G52" s="718">
        <v>0.8</v>
      </c>
      <c r="H52" s="718">
        <v>1</v>
      </c>
      <c r="I52" s="9" t="s">
        <v>6</v>
      </c>
    </row>
    <row r="53" spans="1:9" ht="15.75" x14ac:dyDescent="0.25">
      <c r="A53" s="1"/>
      <c r="B53" s="1"/>
      <c r="C53" s="613" t="s">
        <v>781</v>
      </c>
      <c r="D53" s="725">
        <f>IFERROR((E53*E42+F53*F42)/D42,0)</f>
        <v>0.2</v>
      </c>
      <c r="E53" s="718">
        <v>0.2</v>
      </c>
      <c r="F53" s="718">
        <v>0.2</v>
      </c>
      <c r="G53" s="718">
        <v>0.8</v>
      </c>
      <c r="H53" s="718">
        <v>1</v>
      </c>
      <c r="I53" s="10"/>
    </row>
    <row r="54" spans="1:9" ht="15.75" x14ac:dyDescent="0.25">
      <c r="A54" s="1"/>
      <c r="B54" s="1"/>
      <c r="C54" s="436"/>
      <c r="D54" s="436"/>
      <c r="E54" s="436"/>
      <c r="F54" s="436"/>
      <c r="G54" s="436"/>
      <c r="H54" s="436"/>
      <c r="I54" s="436"/>
    </row>
    <row r="55" spans="1:9" ht="36" customHeight="1" x14ac:dyDescent="0.25">
      <c r="A55" s="1"/>
      <c r="B55" s="1"/>
      <c r="C55" s="359" t="s">
        <v>829</v>
      </c>
      <c r="D55" s="1027" t="s">
        <v>830</v>
      </c>
      <c r="E55" s="1028"/>
      <c r="F55" s="1028"/>
      <c r="G55" s="1028"/>
      <c r="H55" s="1029"/>
      <c r="I55" s="436"/>
    </row>
    <row r="56" spans="1:9" ht="15.75" x14ac:dyDescent="0.25">
      <c r="A56" s="1"/>
      <c r="B56" s="1"/>
      <c r="C56" s="359" t="s">
        <v>599</v>
      </c>
      <c r="D56" s="715">
        <v>0.77</v>
      </c>
      <c r="E56" s="735"/>
      <c r="F56" s="735"/>
      <c r="G56" s="715">
        <v>0.65</v>
      </c>
      <c r="H56" s="715">
        <v>0.54</v>
      </c>
      <c r="I56" s="9" t="s">
        <v>6</v>
      </c>
    </row>
    <row r="57" spans="1:9" ht="15.75" x14ac:dyDescent="0.25">
      <c r="A57" s="1"/>
      <c r="B57" s="1"/>
      <c r="C57" s="359" t="s">
        <v>662</v>
      </c>
      <c r="D57" s="611">
        <v>140</v>
      </c>
      <c r="E57" s="736"/>
      <c r="F57" s="736"/>
      <c r="G57" s="611">
        <v>30</v>
      </c>
      <c r="H57" s="611">
        <v>150</v>
      </c>
      <c r="I57" s="9" t="s">
        <v>6</v>
      </c>
    </row>
    <row r="58" spans="1:9" ht="15.75" x14ac:dyDescent="0.25">
      <c r="A58" s="1"/>
      <c r="B58" s="1"/>
      <c r="C58" s="683" t="str">
        <f>IF('Key inputs &amp; Outputs'!F8="Yes","Nutrients applied as digestate liquid","Nutrients applied as digestate")&amp;", actual lb/acre applied"</f>
        <v>Nutrients applied as digestate liquid, actual lb/acre applied</v>
      </c>
      <c r="D58" s="360">
        <f>'Nutrient calculations'!N50</f>
        <v>140</v>
      </c>
      <c r="E58" s="360"/>
      <c r="F58" s="360"/>
      <c r="G58" s="360">
        <f>'Nutrient calculations'!N51</f>
        <v>88.166483779087685</v>
      </c>
      <c r="H58" s="360">
        <f>'Nutrient calculations'!N52</f>
        <v>281.2786149578713</v>
      </c>
      <c r="I58" s="9" t="s">
        <v>6</v>
      </c>
    </row>
    <row r="59" spans="1:9" ht="15.75" x14ac:dyDescent="0.25">
      <c r="A59" s="1"/>
      <c r="B59" s="1"/>
      <c r="C59" s="683" t="s">
        <v>682</v>
      </c>
      <c r="D59" s="360">
        <f>'Nutrient calculations'!Y50</f>
        <v>35.06937245760777</v>
      </c>
      <c r="E59" s="360"/>
      <c r="F59" s="360"/>
      <c r="G59" s="360">
        <f>'Nutrient calculations'!Y51</f>
        <v>112.45252525252532</v>
      </c>
      <c r="H59" s="360">
        <f>'Nutrient calculations'!Y52</f>
        <v>89.824946295534488</v>
      </c>
      <c r="I59" s="9" t="s">
        <v>6</v>
      </c>
    </row>
    <row r="61" spans="1:9" ht="15.75" thickBot="1" x14ac:dyDescent="0.3"/>
    <row r="62" spans="1:9" ht="48.75" customHeight="1" x14ac:dyDescent="0.25">
      <c r="B62" s="1"/>
      <c r="C62" s="631" t="s">
        <v>563</v>
      </c>
      <c r="D62" s="631" t="s">
        <v>567</v>
      </c>
      <c r="E62" s="631" t="str">
        <f>M10&amp;" from manure + food waste"</f>
        <v>Digestate liquid from manure + food waste</v>
      </c>
      <c r="F62" s="631" t="s">
        <v>566</v>
      </c>
      <c r="G62" s="1"/>
    </row>
    <row r="63" spans="1:9" ht="15.75" x14ac:dyDescent="0.25">
      <c r="B63" s="1"/>
      <c r="C63" s="817" t="s">
        <v>564</v>
      </c>
      <c r="D63" s="818">
        <f>'Nutrient calculations'!E61</f>
        <v>2758.6340586391293</v>
      </c>
      <c r="E63" s="819">
        <f>'Nutrient calculations'!AK61</f>
        <v>2267.8892278849917</v>
      </c>
      <c r="F63" s="819">
        <f>E63-D63</f>
        <v>-490.74483075413764</v>
      </c>
      <c r="G63" s="9" t="s">
        <v>6</v>
      </c>
    </row>
    <row r="64" spans="1:9" ht="15.75" x14ac:dyDescent="0.25">
      <c r="B64" s="1"/>
      <c r="C64" s="359" t="s">
        <v>565</v>
      </c>
      <c r="D64" s="629">
        <f>'Nutrient calculations'!D61</f>
        <v>2900</v>
      </c>
      <c r="E64" s="360">
        <f>'Nutrient calculations'!N61</f>
        <v>3100</v>
      </c>
      <c r="F64" s="360">
        <f>E64-D64</f>
        <v>200</v>
      </c>
      <c r="G64" s="9" t="s">
        <v>6</v>
      </c>
    </row>
    <row r="65" spans="1:7" ht="15.75" x14ac:dyDescent="0.25">
      <c r="B65" s="1"/>
      <c r="C65" s="359" t="s">
        <v>816</v>
      </c>
      <c r="D65" s="629">
        <f>'Nutrient calculations'!D57</f>
        <v>2943.4850863422294</v>
      </c>
      <c r="E65" s="360">
        <f>'Nutrient calculations'!AJ56</f>
        <v>9159.1981309879957</v>
      </c>
      <c r="F65" s="360">
        <f t="shared" ref="F65:F70" si="1">E65-D65</f>
        <v>6215.7130446457668</v>
      </c>
      <c r="G65" s="10"/>
    </row>
    <row r="66" spans="1:7" ht="15.75" x14ac:dyDescent="0.25">
      <c r="B66" s="1"/>
      <c r="C66" s="817" t="s">
        <v>817</v>
      </c>
      <c r="D66" s="629">
        <f>'Nutrient calculations'!D60</f>
        <v>2943.4850863422294</v>
      </c>
      <c r="E66" s="360">
        <f>'Nutrient calculations'!AJ57</f>
        <v>3116.5578137166708</v>
      </c>
      <c r="F66" s="360">
        <f t="shared" si="1"/>
        <v>173.07272737444146</v>
      </c>
      <c r="G66" s="10"/>
    </row>
    <row r="67" spans="1:7" ht="15.75" x14ac:dyDescent="0.25">
      <c r="B67" s="1"/>
      <c r="C67" s="817" t="s">
        <v>818</v>
      </c>
      <c r="D67" s="950">
        <f>ROUND(D66,-2)</f>
        <v>2900</v>
      </c>
      <c r="E67" s="951">
        <f>ROUND(E66,-2)</f>
        <v>3100</v>
      </c>
      <c r="F67" s="951">
        <f t="shared" si="1"/>
        <v>200</v>
      </c>
      <c r="G67" s="10"/>
    </row>
    <row r="68" spans="1:7" ht="15.75" x14ac:dyDescent="0.25">
      <c r="B68" s="1"/>
      <c r="C68" s="949" t="s">
        <v>819</v>
      </c>
      <c r="D68" s="629">
        <f>'Nutrient calculations'!E56</f>
        <v>722.00349899732601</v>
      </c>
      <c r="E68" s="360">
        <f>'Nutrient calculations'!AK56</f>
        <v>767.58429132104652</v>
      </c>
      <c r="F68" s="360">
        <f t="shared" si="1"/>
        <v>45.580792323720516</v>
      </c>
      <c r="G68" s="10"/>
    </row>
    <row r="69" spans="1:7" ht="15.75" x14ac:dyDescent="0.25">
      <c r="B69" s="1"/>
      <c r="C69" s="949" t="s">
        <v>820</v>
      </c>
      <c r="D69" s="629">
        <f>'Nutrient calculations'!E57</f>
        <v>2717.879838146167</v>
      </c>
      <c r="E69" s="360">
        <f>'Nutrient calculations'!AK57</f>
        <v>2255.8402656613189</v>
      </c>
      <c r="F69" s="360">
        <f t="shared" si="1"/>
        <v>-462.03957248484812</v>
      </c>
      <c r="G69" s="10"/>
    </row>
    <row r="70" spans="1:7" ht="15.75" x14ac:dyDescent="0.25">
      <c r="C70" s="949" t="s">
        <v>821</v>
      </c>
      <c r="D70" s="629">
        <f>'Nutrient calculations'!E61</f>
        <v>2758.6340586391293</v>
      </c>
      <c r="E70" s="360">
        <f>'Nutrient calculations'!AK61</f>
        <v>2267.8892278849917</v>
      </c>
      <c r="F70" s="360">
        <f t="shared" si="1"/>
        <v>-490.74483075413764</v>
      </c>
    </row>
    <row r="71" spans="1:7" ht="15.75" x14ac:dyDescent="0.25">
      <c r="B71" s="1"/>
      <c r="C71" s="359"/>
      <c r="D71" s="359"/>
      <c r="E71" s="745" t="s">
        <v>694</v>
      </c>
      <c r="F71" s="359"/>
      <c r="G71" s="1"/>
    </row>
    <row r="72" spans="1:7" ht="15.75" x14ac:dyDescent="0.25">
      <c r="B72" s="1"/>
      <c r="C72" s="359" t="s">
        <v>712</v>
      </c>
      <c r="D72" s="359"/>
      <c r="E72" s="630">
        <f>IF('Key inputs &amp; Outputs'!F9="Yes",'Nutrient calculations'!X61,0)</f>
        <v>20</v>
      </c>
      <c r="F72" s="359"/>
      <c r="G72" s="743" t="s">
        <v>6</v>
      </c>
    </row>
    <row r="73" spans="1:7" ht="15.75" x14ac:dyDescent="0.25">
      <c r="B73" s="1"/>
      <c r="C73" s="359" t="s">
        <v>564</v>
      </c>
      <c r="D73" s="359"/>
      <c r="E73" s="360">
        <f>'Nutrient calculations'!Z56</f>
        <v>61.631284595070419</v>
      </c>
      <c r="F73" s="359"/>
      <c r="G73" s="743" t="s">
        <v>6</v>
      </c>
    </row>
    <row r="74" spans="1:7" ht="15.75" x14ac:dyDescent="0.25">
      <c r="B74" s="1"/>
      <c r="C74" s="359"/>
      <c r="D74" s="359"/>
      <c r="E74" s="745" t="s">
        <v>741</v>
      </c>
      <c r="F74" s="359"/>
      <c r="G74" s="1"/>
    </row>
    <row r="75" spans="1:7" ht="15.75" x14ac:dyDescent="0.25">
      <c r="B75" s="1"/>
      <c r="C75" s="359" t="s">
        <v>761</v>
      </c>
      <c r="D75" s="360">
        <f>D63</f>
        <v>2758.6340586391293</v>
      </c>
      <c r="E75" s="360">
        <f>E63+E73</f>
        <v>2329.5205124800623</v>
      </c>
      <c r="F75" s="360">
        <f>E75-D75</f>
        <v>-429.11354615906703</v>
      </c>
      <c r="G75" s="9" t="s">
        <v>6</v>
      </c>
    </row>
    <row r="76" spans="1:7" ht="15.75" x14ac:dyDescent="0.25">
      <c r="A76" s="270"/>
      <c r="B76" s="1"/>
      <c r="C76" s="359" t="s">
        <v>762</v>
      </c>
      <c r="D76" s="907" t="str">
        <f>IF('Key inputs &amp; Outputs'!$F$13*'Nutrient Inputs'!$M$9-D75&gt;0,"Yes","No")</f>
        <v>Yes</v>
      </c>
      <c r="E76" s="907" t="str">
        <f>IF('Key inputs &amp; Outputs'!$F$13*'Nutrient Inputs'!$M$9-E75&gt;0,"Yes","No")</f>
        <v>Yes</v>
      </c>
      <c r="F76" s="359"/>
      <c r="G76" s="1"/>
    </row>
    <row r="77" spans="1:7" ht="15.75" x14ac:dyDescent="0.25">
      <c r="A77" s="270"/>
      <c r="B77" s="1"/>
      <c r="C77" s="359" t="s">
        <v>763</v>
      </c>
      <c r="D77" s="360"/>
      <c r="E77" s="360"/>
      <c r="F77" s="360"/>
      <c r="G77" s="9" t="s">
        <v>6</v>
      </c>
    </row>
    <row r="78" spans="1:7" ht="15.75" x14ac:dyDescent="0.25">
      <c r="A78" s="270"/>
      <c r="B78" s="1"/>
      <c r="C78" s="359" t="s">
        <v>764</v>
      </c>
      <c r="D78" s="905"/>
      <c r="E78" s="905"/>
      <c r="F78" s="359"/>
      <c r="G78" s="1"/>
    </row>
    <row r="79" spans="1:7" ht="15.75" x14ac:dyDescent="0.25">
      <c r="A79" s="270"/>
      <c r="B79" s="1"/>
      <c r="C79" s="359" t="s">
        <v>765</v>
      </c>
      <c r="D79" s="481"/>
      <c r="E79" s="481"/>
      <c r="F79" s="359"/>
      <c r="G79" s="906"/>
    </row>
    <row r="85" spans="3:5" x14ac:dyDescent="0.25">
      <c r="C85" s="734" t="s">
        <v>620</v>
      </c>
      <c r="D85" s="734" t="str">
        <f ca="1">CELL("address",'Nutrient Inputs'!D41)</f>
        <v>$D$41</v>
      </c>
      <c r="E85" s="734" cm="1">
        <f t="array" aca="1" ref="E85" ca="1">INDIRECT(D85)</f>
        <v>34.19</v>
      </c>
    </row>
    <row r="86" spans="3:5" x14ac:dyDescent="0.25">
      <c r="C86" s="734" t="s">
        <v>621</v>
      </c>
      <c r="D86" s="734" t="str">
        <f ca="1">CELL("address",'Nutrient Inputs'!E41)</f>
        <v>$E$41</v>
      </c>
      <c r="E86" s="734" cm="1">
        <f t="array" aca="1" ref="E86" ca="1">INDIRECT(D86)</f>
        <v>11.89</v>
      </c>
    </row>
    <row r="87" spans="3:5" x14ac:dyDescent="0.25">
      <c r="C87" s="734" t="s">
        <v>622</v>
      </c>
      <c r="D87" s="734" t="str">
        <f ca="1">CELL("address",'Nutrient Inputs'!G41)</f>
        <v>$G$41</v>
      </c>
      <c r="E87" s="734" cm="1">
        <f t="array" aca="1" ref="E87" ca="1">INDIRECT(D87)</f>
        <v>12.74</v>
      </c>
    </row>
    <row r="88" spans="3:5" x14ac:dyDescent="0.25">
      <c r="C88" s="734" t="s">
        <v>623</v>
      </c>
      <c r="D88" s="734" t="str">
        <f ca="1">CELL("address",'Nutrient Inputs'!H41)</f>
        <v>$H$41</v>
      </c>
      <c r="E88" s="734" cm="1">
        <f t="array" aca="1" ref="E88" ca="1">INDIRECT(D88)</f>
        <v>27.68</v>
      </c>
    </row>
    <row r="89" spans="3:5" x14ac:dyDescent="0.25">
      <c r="C89" s="734" t="s">
        <v>616</v>
      </c>
      <c r="D89" s="734" t="str">
        <f ca="1">CELL("address",'Nutrient Inputs'!E51)</f>
        <v>$E$51</v>
      </c>
      <c r="E89" s="734" cm="1">
        <f t="array" aca="1" ref="E89" ca="1">INDIRECT(D89)</f>
        <v>0.5</v>
      </c>
    </row>
    <row r="90" spans="3:5" x14ac:dyDescent="0.25">
      <c r="C90" s="734" t="s">
        <v>617</v>
      </c>
      <c r="D90" s="734" t="str">
        <f ca="1">CELL("address",'Nutrient Inputs'!E4)</f>
        <v>$E$4</v>
      </c>
      <c r="E90" s="734" cm="1">
        <f t="array" aca="1" ref="E90" ca="1">INDIRECT(D90)</f>
        <v>0.13</v>
      </c>
    </row>
    <row r="91" spans="3:5" x14ac:dyDescent="0.25">
      <c r="C91" s="734" t="s">
        <v>670</v>
      </c>
      <c r="D91" s="734" t="str">
        <f ca="1">CELL("address",'Nutrient Inputs'!E18)</f>
        <v>$E$18</v>
      </c>
      <c r="E91" s="792" cm="1">
        <f t="array" aca="1" ref="E91" ca="1">INDIRECT(D91)</f>
        <v>0.03</v>
      </c>
    </row>
    <row r="92" spans="3:5" x14ac:dyDescent="0.25">
      <c r="C92" s="734" t="s">
        <v>562</v>
      </c>
      <c r="D92" s="734" t="str">
        <f ca="1">CELL("address",'Nutrient Inputs'!E21)</f>
        <v>$E$21</v>
      </c>
      <c r="E92" s="792" cm="1">
        <f t="array" aca="1" ref="E92" ca="1">INDIRECT(D92)</f>
        <v>0.35499999999999998</v>
      </c>
    </row>
  </sheetData>
  <sheetProtection sheet="1" objects="1" scenarios="1"/>
  <mergeCells count="1">
    <mergeCell ref="D55:H55"/>
  </mergeCells>
  <conditionalFormatting sqref="A76:A79">
    <cfRule type="expression" dxfId="45" priority="30">
      <formula>OR($E$156="No",$F$156="No")</formula>
    </cfRule>
  </conditionalFormatting>
  <conditionalFormatting sqref="C68:C70">
    <cfRule type="expression" dxfId="44" priority="5">
      <formula>$E$8="No"</formula>
    </cfRule>
  </conditionalFormatting>
  <conditionalFormatting sqref="C12:D12">
    <cfRule type="expression" dxfId="43" priority="7">
      <formula>$F$7="No"</formula>
    </cfRule>
    <cfRule type="expression" dxfId="42" priority="8">
      <formula>$F$8="No"</formula>
    </cfRule>
  </conditionalFormatting>
  <conditionalFormatting sqref="C45:D45 G45:H45 C46 C47:H47">
    <cfRule type="expression" dxfId="41" priority="16">
      <formula>$D$44="Neither"</formula>
    </cfRule>
  </conditionalFormatting>
  <conditionalFormatting sqref="C10:E10">
    <cfRule type="expression" dxfId="40" priority="12">
      <formula>$E$8="No"</formula>
    </cfRule>
  </conditionalFormatting>
  <conditionalFormatting sqref="C14:E17">
    <cfRule type="expression" dxfId="39" priority="11">
      <formula>$E$8="No"</formula>
    </cfRule>
  </conditionalFormatting>
  <conditionalFormatting sqref="C71:G76">
    <cfRule type="expression" dxfId="37" priority="22">
      <formula>#REF!="No"</formula>
    </cfRule>
  </conditionalFormatting>
  <conditionalFormatting sqref="C48:H48">
    <cfRule type="expression" dxfId="36" priority="10">
      <formula>$F$132="No"</formula>
    </cfRule>
  </conditionalFormatting>
  <conditionalFormatting sqref="C49:I49 C52:I52 I53 C59:I59">
    <cfRule type="expression" dxfId="35" priority="29">
      <formula>$F$125="No"</formula>
    </cfRule>
  </conditionalFormatting>
  <conditionalFormatting sqref="C49:I49">
    <cfRule type="expression" dxfId="34" priority="23">
      <formula>#REF!="No"</formula>
    </cfRule>
  </conditionalFormatting>
  <conditionalFormatting sqref="D31:D32 D35:D36">
    <cfRule type="expression" dxfId="33" priority="15">
      <formula>$G$62="Intermediate"</formula>
    </cfRule>
  </conditionalFormatting>
  <conditionalFormatting sqref="D38">
    <cfRule type="expression" dxfId="32" priority="6726">
      <formula>$G$62="Intermediate"</formula>
    </cfRule>
  </conditionalFormatting>
  <conditionalFormatting sqref="D11:E11 C21:D21 C22:E22 C52:I52 I53 C59:I59">
    <cfRule type="expression" dxfId="31" priority="26">
      <formula>#REF!="No"</formula>
    </cfRule>
  </conditionalFormatting>
  <conditionalFormatting sqref="D53:F53">
    <cfRule type="expression" dxfId="30" priority="6907">
      <formula>$E$6="No"</formula>
    </cfRule>
    <cfRule type="expression" dxfId="29" priority="6908">
      <formula>$F$125="No"</formula>
    </cfRule>
  </conditionalFormatting>
  <conditionalFormatting sqref="D42:H43">
    <cfRule type="expression" dxfId="28" priority="1">
      <formula>#REF!="No"</formula>
    </cfRule>
    <cfRule type="expression" dxfId="27" priority="2">
      <formula>$F$125="No"</formula>
    </cfRule>
  </conditionalFormatting>
  <conditionalFormatting sqref="D46:H46">
    <cfRule type="expression" dxfId="26" priority="4">
      <formula>$F$132="No"</formula>
    </cfRule>
  </conditionalFormatting>
  <conditionalFormatting sqref="E12">
    <cfRule type="expression" dxfId="25" priority="6">
      <formula>$E$8="No"</formula>
    </cfRule>
  </conditionalFormatting>
  <conditionalFormatting sqref="E22">
    <cfRule type="expression" dxfId="24" priority="21">
      <formula>$F$125="No"</formula>
    </cfRule>
  </conditionalFormatting>
  <conditionalFormatting sqref="F21">
    <cfRule type="expression" dxfId="23" priority="24">
      <formula>#REF!="No"</formula>
    </cfRule>
  </conditionalFormatting>
  <dataValidations disablePrompts="1" count="1">
    <dataValidation type="list" allowBlank="1" showInputMessage="1" showErrorMessage="1" sqref="D44" xr:uid="{D2C92503-B49D-41DC-B705-DF09614012AA}">
      <formula1>"Paid,Charged,Neither"</formula1>
    </dataValidation>
  </dataValidations>
  <pageMargins left="0.7" right="0.7" top="0.75" bottom="0.75" header="0.3" footer="0.3"/>
  <pageSetup orientation="portrait" horizontalDpi="0" verticalDpi="0" r:id="rId1"/>
  <legacyDrawing r:id="rId2"/>
  <extLst>
    <ext xmlns:x14="http://schemas.microsoft.com/office/spreadsheetml/2009/9/main" uri="{78C0D931-6437-407d-A8EE-F0AAD7539E65}">
      <x14:conditionalFormattings>
        <x14:conditionalFormatting xmlns:xm="http://schemas.microsoft.com/office/excel/2006/main">
          <x14:cfRule type="expression" priority="3" id="{BF689737-E270-457B-82F0-D923EB20C5FB}">
            <xm:f>'Key inputs &amp; Outputs'!$F$15="No"</xm:f>
            <x14:dxf>
              <font>
                <color theme="0" tint="-0.14996795556505021"/>
              </font>
              <fill>
                <patternFill>
                  <bgColor theme="0" tint="-0.14996795556505021"/>
                </patternFill>
              </fill>
            </x14:dxf>
          </x14:cfRule>
          <xm:sqref>C16:E16 C46:H46 C53:H53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4A78F-6058-4E89-AEF3-18CCBC5BAB6B}">
  <sheetPr codeName="Sheet9"/>
  <dimension ref="A1:AZ244"/>
  <sheetViews>
    <sheetView workbookViewId="0">
      <selection activeCell="H8" sqref="H8"/>
    </sheetView>
  </sheetViews>
  <sheetFormatPr defaultRowHeight="15" x14ac:dyDescent="0.25"/>
  <cols>
    <col min="1" max="1" width="53.5703125" customWidth="1"/>
    <col min="2" max="2" width="17.85546875" customWidth="1"/>
    <col min="3" max="4" width="13" customWidth="1"/>
    <col min="5" max="12" width="15" customWidth="1"/>
    <col min="13" max="13" width="15" style="650" customWidth="1"/>
    <col min="14" max="14" width="15.42578125" customWidth="1"/>
    <col min="15" max="23" width="13.85546875" customWidth="1"/>
    <col min="24" max="26" width="16.5703125" customWidth="1"/>
    <col min="27" max="27" width="15.28515625" customWidth="1"/>
    <col min="28" max="28" width="13" customWidth="1"/>
    <col min="29" max="29" width="12.28515625" customWidth="1"/>
    <col min="30" max="31" width="8.7109375" customWidth="1"/>
    <col min="32" max="32" width="20" customWidth="1"/>
    <col min="33" max="33" width="13" customWidth="1"/>
    <col min="34" max="34" width="14.7109375" customWidth="1"/>
    <col min="35" max="36" width="13" customWidth="1"/>
    <col min="37" max="43" width="14.7109375" customWidth="1"/>
    <col min="44" max="44" width="18" customWidth="1"/>
    <col min="45" max="45" width="23.5703125" customWidth="1"/>
    <col min="46" max="46" width="16.85546875" customWidth="1"/>
    <col min="47" max="47" width="10.7109375" customWidth="1"/>
    <col min="48" max="48" width="13.5703125" customWidth="1"/>
    <col min="51" max="51" width="12.140625" customWidth="1"/>
    <col min="52" max="52" width="14.42578125" customWidth="1"/>
  </cols>
  <sheetData>
    <row r="1" spans="1:43" x14ac:dyDescent="0.25">
      <c r="A1" t="s">
        <v>305</v>
      </c>
      <c r="P1" s="404" t="s">
        <v>230</v>
      </c>
      <c r="Q1" s="404"/>
      <c r="R1" s="404"/>
      <c r="S1" s="404"/>
      <c r="T1" s="404"/>
      <c r="U1" s="404"/>
      <c r="V1" s="404"/>
      <c r="W1" s="404"/>
    </row>
    <row r="2" spans="1:43" x14ac:dyDescent="0.25">
      <c r="P2" t="s">
        <v>232</v>
      </c>
      <c r="Y2">
        <v>0.90700000000000003</v>
      </c>
    </row>
    <row r="3" spans="1:43" x14ac:dyDescent="0.25">
      <c r="J3" s="398"/>
      <c r="K3" s="398"/>
      <c r="L3" s="398"/>
      <c r="N3" s="403" t="s">
        <v>229</v>
      </c>
      <c r="P3" t="s">
        <v>233</v>
      </c>
      <c r="Y3">
        <v>0.40500000000000003</v>
      </c>
    </row>
    <row r="4" spans="1:43" x14ac:dyDescent="0.25">
      <c r="N4" s="403" t="s">
        <v>231</v>
      </c>
      <c r="P4" t="s">
        <v>234</v>
      </c>
      <c r="Y4">
        <v>100</v>
      </c>
    </row>
    <row r="5" spans="1:43" x14ac:dyDescent="0.25">
      <c r="P5" t="s">
        <v>235</v>
      </c>
      <c r="Y5" s="433">
        <v>0.45400000000000001</v>
      </c>
    </row>
    <row r="6" spans="1:43" x14ac:dyDescent="0.25">
      <c r="P6" t="s">
        <v>227</v>
      </c>
      <c r="Y6" s="433">
        <v>35.314</v>
      </c>
      <c r="AF6" t="s">
        <v>570</v>
      </c>
    </row>
    <row r="7" spans="1:43" x14ac:dyDescent="0.25">
      <c r="P7" t="s">
        <v>236</v>
      </c>
      <c r="Y7" s="569">
        <v>7.48</v>
      </c>
      <c r="Z7" s="405"/>
    </row>
    <row r="8" spans="1:43" x14ac:dyDescent="0.25">
      <c r="Y8" s="569"/>
      <c r="Z8" s="405"/>
    </row>
    <row r="9" spans="1:43" x14ac:dyDescent="0.25">
      <c r="Y9" s="569"/>
      <c r="Z9" s="405"/>
    </row>
    <row r="10" spans="1:43" x14ac:dyDescent="0.25">
      <c r="Y10" s="569"/>
      <c r="Z10" s="405"/>
    </row>
    <row r="11" spans="1:43" x14ac:dyDescent="0.25">
      <c r="Y11" s="569"/>
      <c r="Z11" s="405"/>
    </row>
    <row r="12" spans="1:43" x14ac:dyDescent="0.25">
      <c r="AF12" s="432"/>
    </row>
    <row r="13" spans="1:43" x14ac:dyDescent="0.25">
      <c r="B13" t="s">
        <v>568</v>
      </c>
      <c r="N13" t="s">
        <v>569</v>
      </c>
      <c r="AF13" t="s">
        <v>751</v>
      </c>
    </row>
    <row r="14" spans="1:43" ht="18.75" x14ac:dyDescent="0.3">
      <c r="A14" s="692" t="s">
        <v>575</v>
      </c>
      <c r="B14" s="632"/>
      <c r="C14" s="632"/>
      <c r="D14" s="632"/>
      <c r="E14" s="632"/>
      <c r="F14" s="632"/>
      <c r="G14" s="632"/>
      <c r="H14" s="632"/>
      <c r="I14" s="632"/>
      <c r="J14" s="632"/>
      <c r="K14" s="632"/>
      <c r="L14" s="632"/>
      <c r="N14" s="650"/>
      <c r="O14" s="650"/>
      <c r="P14" s="650"/>
      <c r="Q14" s="650"/>
      <c r="R14" s="650"/>
      <c r="S14" s="650"/>
      <c r="T14" s="650"/>
      <c r="U14" s="650"/>
      <c r="V14" s="650"/>
      <c r="W14" s="650"/>
      <c r="X14" s="650"/>
      <c r="Y14" s="650"/>
      <c r="Z14" s="650"/>
      <c r="AA14" s="650"/>
      <c r="AB14" s="650"/>
      <c r="AC14" s="650"/>
      <c r="AD14" s="650"/>
      <c r="AE14" s="650"/>
      <c r="AF14" s="665"/>
      <c r="AG14" s="665"/>
      <c r="AH14" s="666"/>
      <c r="AI14" s="665"/>
      <c r="AJ14" s="665"/>
      <c r="AK14" s="665"/>
      <c r="AL14" s="665"/>
      <c r="AM14" s="665"/>
      <c r="AN14" s="665"/>
      <c r="AO14" s="665"/>
      <c r="AP14" s="665"/>
      <c r="AQ14" s="665"/>
    </row>
    <row r="15" spans="1:43" x14ac:dyDescent="0.25">
      <c r="A15" t="s">
        <v>306</v>
      </c>
      <c r="B15" s="872">
        <f>B30*Y7/(2000*365)</f>
        <v>81.972999999999999</v>
      </c>
      <c r="C15" s="632" t="s">
        <v>734</v>
      </c>
      <c r="D15" s="632"/>
      <c r="E15" s="632"/>
      <c r="F15" s="632"/>
      <c r="G15" s="632"/>
      <c r="H15" s="632"/>
      <c r="I15" s="632"/>
      <c r="J15" s="632"/>
      <c r="K15" s="632"/>
      <c r="L15" s="632"/>
      <c r="N15" s="652"/>
      <c r="O15" s="650"/>
      <c r="P15" s="650"/>
      <c r="Q15" s="650"/>
      <c r="R15" s="650"/>
      <c r="S15" s="650"/>
      <c r="T15" s="650"/>
      <c r="U15" s="650"/>
      <c r="V15" s="650"/>
      <c r="W15" s="650"/>
      <c r="X15" s="650"/>
      <c r="Y15" s="650"/>
      <c r="Z15" s="650"/>
      <c r="AA15" s="650"/>
      <c r="AB15" s="650"/>
      <c r="AC15" s="650"/>
      <c r="AD15" s="650"/>
      <c r="AE15" s="650"/>
      <c r="AF15" s="668">
        <f>N20</f>
        <v>81.972999999999999</v>
      </c>
      <c r="AG15" s="665" t="s">
        <v>323</v>
      </c>
      <c r="AH15" s="665"/>
      <c r="AI15" s="665"/>
      <c r="AJ15" s="665"/>
      <c r="AK15" s="665"/>
      <c r="AL15" s="665"/>
      <c r="AM15" s="665"/>
      <c r="AN15" s="665"/>
      <c r="AO15" s="665"/>
      <c r="AP15" s="665"/>
      <c r="AQ15" s="665"/>
    </row>
    <row r="16" spans="1:43" x14ac:dyDescent="0.25">
      <c r="A16" t="s">
        <v>328</v>
      </c>
      <c r="B16" s="872"/>
      <c r="C16" s="632"/>
      <c r="D16" s="632"/>
      <c r="E16" s="632"/>
      <c r="F16" s="632"/>
      <c r="G16" s="632"/>
      <c r="H16" s="632"/>
      <c r="I16" s="632"/>
      <c r="J16" s="632"/>
      <c r="K16" s="632"/>
      <c r="L16" s="632"/>
      <c r="N16" s="652"/>
      <c r="O16" s="650"/>
      <c r="P16" s="650"/>
      <c r="Q16" s="650"/>
      <c r="R16" s="650"/>
      <c r="S16" s="650"/>
      <c r="T16" s="650"/>
      <c r="U16" s="650"/>
      <c r="V16" s="650"/>
      <c r="W16" s="650"/>
      <c r="X16" s="650"/>
      <c r="Y16" s="650"/>
      <c r="Z16" s="650"/>
      <c r="AA16" s="650"/>
      <c r="AB16" s="650"/>
      <c r="AC16" s="650"/>
      <c r="AD16" s="650"/>
      <c r="AE16" s="650"/>
      <c r="AF16" s="668">
        <f>AF24/AF20</f>
        <v>0</v>
      </c>
      <c r="AG16" s="665" t="s">
        <v>323</v>
      </c>
      <c r="AH16" s="665"/>
      <c r="AI16" s="665"/>
      <c r="AJ16" s="665"/>
      <c r="AK16" s="665"/>
      <c r="AL16" s="665"/>
      <c r="AM16" s="665"/>
      <c r="AN16" s="665"/>
      <c r="AO16" s="665"/>
      <c r="AP16" s="665"/>
      <c r="AQ16" s="665"/>
    </row>
    <row r="17" spans="1:43" x14ac:dyDescent="0.25">
      <c r="A17" t="s">
        <v>329</v>
      </c>
      <c r="B17" s="872">
        <f>B15</f>
        <v>81.972999999999999</v>
      </c>
      <c r="C17" s="632" t="s">
        <v>323</v>
      </c>
      <c r="D17" s="632"/>
      <c r="E17" s="632"/>
      <c r="F17" s="632"/>
      <c r="G17" s="632"/>
      <c r="H17" s="632"/>
      <c r="I17" s="632"/>
      <c r="J17" s="632"/>
      <c r="K17" s="632"/>
      <c r="L17" s="632"/>
      <c r="N17" s="651"/>
      <c r="O17" s="650"/>
      <c r="P17" s="650"/>
      <c r="Q17" s="650"/>
      <c r="R17" s="650"/>
      <c r="S17" s="650"/>
      <c r="T17" s="650"/>
      <c r="U17" s="650"/>
      <c r="V17" s="650"/>
      <c r="W17" s="650"/>
      <c r="X17" s="650"/>
      <c r="Y17" s="650"/>
      <c r="Z17" s="650"/>
      <c r="AA17" s="650"/>
      <c r="AB17" s="650"/>
      <c r="AC17" s="650"/>
      <c r="AD17" s="650"/>
      <c r="AE17" s="650"/>
      <c r="AF17" s="668">
        <f>SUM(AF15:AF16)</f>
        <v>81.972999999999999</v>
      </c>
      <c r="AG17" s="665" t="s">
        <v>323</v>
      </c>
      <c r="AH17" s="667"/>
      <c r="AI17" s="665"/>
      <c r="AJ17" s="665"/>
      <c r="AK17" s="665"/>
      <c r="AL17" s="665"/>
      <c r="AM17" s="665"/>
      <c r="AN17" s="665"/>
      <c r="AO17" s="665"/>
      <c r="AP17" s="665"/>
      <c r="AQ17" s="665"/>
    </row>
    <row r="18" spans="1:43" x14ac:dyDescent="0.25">
      <c r="A18" s="404" t="s">
        <v>325</v>
      </c>
      <c r="B18" s="633"/>
      <c r="C18" s="632"/>
      <c r="D18" s="632"/>
      <c r="E18" s="632"/>
      <c r="F18" s="632"/>
      <c r="G18" s="632"/>
      <c r="H18" s="632"/>
      <c r="I18" s="632"/>
      <c r="J18" s="632"/>
      <c r="K18" s="632"/>
      <c r="L18" s="632"/>
      <c r="N18" s="652"/>
      <c r="O18" s="650"/>
      <c r="P18" s="650"/>
      <c r="Q18" s="650"/>
      <c r="R18" s="650"/>
      <c r="S18" s="650"/>
      <c r="T18" s="650"/>
      <c r="U18" s="650"/>
      <c r="V18" s="650"/>
      <c r="W18" s="650"/>
      <c r="X18" s="650"/>
      <c r="Y18" s="650"/>
      <c r="Z18" s="650"/>
      <c r="AA18" s="650"/>
      <c r="AB18" s="650"/>
      <c r="AC18" s="650"/>
      <c r="AD18" s="650"/>
      <c r="AE18" s="650"/>
      <c r="AF18" s="667"/>
      <c r="AG18" s="665"/>
      <c r="AH18" s="665"/>
      <c r="AI18" s="665"/>
      <c r="AJ18" s="665"/>
      <c r="AK18" s="665"/>
      <c r="AL18" s="665"/>
      <c r="AM18" s="665"/>
      <c r="AN18" s="665"/>
      <c r="AO18" s="665"/>
      <c r="AP18" s="665"/>
      <c r="AQ18" s="665"/>
    </row>
    <row r="19" spans="1:43" x14ac:dyDescent="0.25">
      <c r="A19" t="s">
        <v>306</v>
      </c>
      <c r="B19" s="634">
        <f>'Nutrient Inputs'!E4</f>
        <v>0.13</v>
      </c>
      <c r="C19" s="632" t="s">
        <v>332</v>
      </c>
      <c r="D19" s="632"/>
      <c r="E19" s="632"/>
      <c r="F19" s="632"/>
      <c r="G19" s="632"/>
      <c r="H19" s="632"/>
      <c r="I19" s="632"/>
      <c r="J19" s="632"/>
      <c r="K19" s="632"/>
      <c r="L19" s="632"/>
      <c r="N19" s="653"/>
      <c r="O19" s="654"/>
      <c r="P19" s="654"/>
      <c r="Q19" s="654"/>
      <c r="R19" s="654"/>
      <c r="S19" s="654"/>
      <c r="T19" s="654"/>
      <c r="U19" s="654"/>
      <c r="V19" s="654"/>
      <c r="W19" s="654"/>
      <c r="X19" s="650"/>
      <c r="Y19" s="650"/>
      <c r="Z19" s="650"/>
      <c r="AA19" s="650"/>
      <c r="AB19" s="650"/>
      <c r="AC19" s="650"/>
      <c r="AD19" s="650"/>
      <c r="AE19" s="650"/>
      <c r="AF19" s="669">
        <f>B19</f>
        <v>0.13</v>
      </c>
      <c r="AG19" s="667"/>
      <c r="AH19" s="665"/>
      <c r="AI19" s="665"/>
      <c r="AJ19" s="665"/>
      <c r="AK19" s="665"/>
      <c r="AL19" s="665"/>
      <c r="AM19" s="665"/>
      <c r="AN19" s="665"/>
      <c r="AO19" s="665"/>
      <c r="AP19" s="665"/>
      <c r="AQ19" s="665"/>
    </row>
    <row r="20" spans="1:43" x14ac:dyDescent="0.25">
      <c r="A20" t="s">
        <v>328</v>
      </c>
      <c r="B20" s="633"/>
      <c r="C20" s="632"/>
      <c r="D20" s="632"/>
      <c r="E20" s="632"/>
      <c r="F20" s="632"/>
      <c r="G20" s="632"/>
      <c r="H20" s="632"/>
      <c r="I20" s="632"/>
      <c r="J20" s="632"/>
      <c r="K20" s="632"/>
      <c r="L20" s="632"/>
      <c r="N20" s="651">
        <f>N28*Y7/(365*2000)</f>
        <v>81.972999999999999</v>
      </c>
      <c r="O20" s="650" t="s">
        <v>742</v>
      </c>
      <c r="P20" s="650"/>
      <c r="Q20" s="650"/>
      <c r="R20" s="650"/>
      <c r="S20" s="650"/>
      <c r="T20" s="650"/>
      <c r="U20" s="650"/>
      <c r="V20" s="650"/>
      <c r="W20" s="650"/>
      <c r="X20" s="650"/>
      <c r="Y20" s="650"/>
      <c r="Z20" s="650"/>
      <c r="AA20" s="650"/>
      <c r="AB20" s="650"/>
      <c r="AC20" s="650"/>
      <c r="AD20" s="650"/>
      <c r="AE20" s="650"/>
      <c r="AF20" s="669">
        <f>Switchgrass_Key_Inputs!D23</f>
        <v>0.85</v>
      </c>
      <c r="AG20" s="665" t="s">
        <v>327</v>
      </c>
      <c r="AH20" s="665"/>
      <c r="AI20" s="665"/>
      <c r="AJ20" s="665"/>
      <c r="AK20" s="665"/>
      <c r="AL20" s="665"/>
      <c r="AM20" s="665"/>
      <c r="AN20" s="665"/>
      <c r="AO20" s="665"/>
      <c r="AP20" s="665"/>
      <c r="AQ20" s="665"/>
    </row>
    <row r="21" spans="1:43" x14ac:dyDescent="0.25">
      <c r="A21" t="s">
        <v>329</v>
      </c>
      <c r="B21" s="633"/>
      <c r="C21" s="632"/>
      <c r="D21" s="632"/>
      <c r="E21" s="632"/>
      <c r="F21" s="632"/>
      <c r="G21" s="632"/>
      <c r="H21" s="632"/>
      <c r="I21" s="632"/>
      <c r="J21" s="632"/>
      <c r="K21" s="632"/>
      <c r="L21" s="632"/>
      <c r="N21" s="653">
        <f>'Nutrient Inputs'!E6</f>
        <v>0.13</v>
      </c>
      <c r="O21" s="650" t="s">
        <v>743</v>
      </c>
      <c r="P21" s="650"/>
      <c r="Q21" s="650"/>
      <c r="R21" s="650"/>
      <c r="S21" s="650"/>
      <c r="T21" s="650"/>
      <c r="U21" s="650"/>
      <c r="V21" s="650"/>
      <c r="W21" s="650"/>
      <c r="X21" s="650"/>
      <c r="Y21" s="650"/>
      <c r="Z21" s="650"/>
      <c r="AA21" s="650"/>
      <c r="AB21" s="650"/>
      <c r="AC21" s="650"/>
      <c r="AD21" s="650"/>
      <c r="AE21" s="650"/>
      <c r="AF21" s="669">
        <f>(AF15*AF19+AF16*AF20)/(AF17)</f>
        <v>0.13</v>
      </c>
      <c r="AG21" s="665" t="s">
        <v>326</v>
      </c>
      <c r="AH21" s="665"/>
      <c r="AI21" s="665"/>
      <c r="AJ21" s="665"/>
      <c r="AK21" s="665"/>
      <c r="AL21" s="665"/>
      <c r="AM21" s="665"/>
      <c r="AN21" s="665"/>
      <c r="AO21" s="665"/>
      <c r="AP21" s="665"/>
      <c r="AQ21" s="665"/>
    </row>
    <row r="22" spans="1:43" ht="18.75" x14ac:dyDescent="0.3">
      <c r="A22" s="692" t="s">
        <v>576</v>
      </c>
      <c r="B22" s="633"/>
      <c r="C22" s="632"/>
      <c r="D22" s="632"/>
      <c r="E22" s="632"/>
      <c r="F22" s="632"/>
      <c r="G22" s="632"/>
      <c r="H22" s="632"/>
      <c r="I22" s="632"/>
      <c r="J22" s="632"/>
      <c r="K22" s="632"/>
      <c r="L22" s="632"/>
      <c r="N22" s="653"/>
      <c r="O22" s="650"/>
      <c r="P22" s="650"/>
      <c r="Q22" s="650"/>
      <c r="R22" s="650"/>
      <c r="S22" s="650"/>
      <c r="T22" s="650"/>
      <c r="U22" s="650"/>
      <c r="V22" s="650"/>
      <c r="W22" s="650"/>
      <c r="X22" s="650"/>
      <c r="Y22" s="650"/>
      <c r="Z22" s="650"/>
      <c r="AA22" s="650"/>
      <c r="AB22" s="650"/>
      <c r="AC22" s="650"/>
      <c r="AD22" s="650"/>
      <c r="AE22" s="650"/>
      <c r="AF22" s="669"/>
      <c r="AG22" s="665"/>
      <c r="AH22" s="665"/>
      <c r="AI22" s="665"/>
      <c r="AJ22" s="665"/>
      <c r="AK22" s="665"/>
      <c r="AL22" s="665"/>
      <c r="AM22" s="665"/>
      <c r="AN22" s="665"/>
      <c r="AO22" s="665"/>
      <c r="AP22" s="665"/>
      <c r="AQ22" s="665"/>
    </row>
    <row r="23" spans="1:43" x14ac:dyDescent="0.25">
      <c r="A23" t="s">
        <v>306</v>
      </c>
      <c r="B23" s="635">
        <f>B15*B$19</f>
        <v>10.65649</v>
      </c>
      <c r="C23" s="632" t="s">
        <v>323</v>
      </c>
      <c r="D23" s="632"/>
      <c r="E23" s="632"/>
      <c r="F23" s="632"/>
      <c r="G23" s="632"/>
      <c r="H23" s="632"/>
      <c r="I23" s="632"/>
      <c r="J23" s="632"/>
      <c r="K23" s="632"/>
      <c r="L23" s="632"/>
      <c r="N23" s="655"/>
      <c r="O23" s="650"/>
      <c r="P23" s="650"/>
      <c r="Q23" s="650"/>
      <c r="R23" s="650"/>
      <c r="S23" s="650"/>
      <c r="T23" s="650"/>
      <c r="U23" s="650"/>
      <c r="V23" s="650"/>
      <c r="W23" s="650"/>
      <c r="X23" s="650"/>
      <c r="Y23" s="650"/>
      <c r="Z23" s="650"/>
      <c r="AA23" s="650"/>
      <c r="AB23" s="650"/>
      <c r="AC23" s="650"/>
      <c r="AD23" s="650"/>
      <c r="AE23" s="650"/>
      <c r="AF23" s="670">
        <f>AF15*AF$19</f>
        <v>10.65649</v>
      </c>
      <c r="AG23" s="665" t="s">
        <v>638</v>
      </c>
      <c r="AH23" s="667"/>
      <c r="AI23" s="665"/>
      <c r="AJ23" s="665"/>
      <c r="AK23" s="665"/>
      <c r="AL23" s="665"/>
      <c r="AM23" s="665"/>
      <c r="AN23" s="665"/>
      <c r="AO23" s="665"/>
      <c r="AP23" s="665"/>
      <c r="AQ23" s="665"/>
    </row>
    <row r="24" spans="1:43" x14ac:dyDescent="0.25">
      <c r="A24" t="s">
        <v>328</v>
      </c>
      <c r="B24" s="633"/>
      <c r="C24" s="632"/>
      <c r="D24" s="632"/>
      <c r="E24" s="632"/>
      <c r="F24" s="632"/>
      <c r="G24" s="632"/>
      <c r="H24" s="632"/>
      <c r="I24" s="632"/>
      <c r="J24" s="632"/>
      <c r="K24" s="632"/>
      <c r="L24" s="632"/>
      <c r="N24" s="655"/>
      <c r="O24" s="650"/>
      <c r="P24" s="650"/>
      <c r="Q24" s="650"/>
      <c r="R24" s="650"/>
      <c r="S24" s="650"/>
      <c r="T24" s="650"/>
      <c r="U24" s="650"/>
      <c r="V24" s="650"/>
      <c r="W24" s="650"/>
      <c r="X24" s="650"/>
      <c r="Y24" s="650"/>
      <c r="Z24" s="650"/>
      <c r="AA24" s="650"/>
      <c r="AB24" s="650"/>
      <c r="AC24" s="650"/>
      <c r="AD24" s="650"/>
      <c r="AE24" s="650"/>
      <c r="AF24" s="670">
        <f>Switchgrass_Key_Inputs!L22*Switchgrass_Key_Inputs!D45/365</f>
        <v>0</v>
      </c>
      <c r="AG24" s="665" t="s">
        <v>638</v>
      </c>
      <c r="AH24" s="667" t="str">
        <f>AG20</f>
        <v>grass solids</v>
      </c>
      <c r="AI24" s="665"/>
      <c r="AJ24" s="665"/>
      <c r="AK24" s="665"/>
      <c r="AL24" s="665"/>
      <c r="AM24" s="665"/>
      <c r="AN24" s="665"/>
      <c r="AO24" s="665"/>
      <c r="AP24" s="665"/>
      <c r="AQ24" s="665"/>
    </row>
    <row r="25" spans="1:43" x14ac:dyDescent="0.25">
      <c r="A25" t="s">
        <v>329</v>
      </c>
      <c r="B25" s="635">
        <f>B17*B$19</f>
        <v>10.65649</v>
      </c>
      <c r="C25" s="632" t="s">
        <v>323</v>
      </c>
      <c r="D25" s="632"/>
      <c r="E25" s="636"/>
      <c r="F25" s="632"/>
      <c r="G25" s="632"/>
      <c r="H25" s="632"/>
      <c r="I25" s="632"/>
      <c r="J25" s="632"/>
      <c r="K25" s="632"/>
      <c r="L25" s="632"/>
      <c r="N25" s="655">
        <f>N20*N$21</f>
        <v>10.65649</v>
      </c>
      <c r="O25" s="650" t="s">
        <v>323</v>
      </c>
      <c r="P25" s="650"/>
      <c r="Q25" s="650"/>
      <c r="R25" s="650"/>
      <c r="S25" s="650"/>
      <c r="T25" s="650"/>
      <c r="U25" s="650"/>
      <c r="V25" s="650"/>
      <c r="W25" s="650"/>
      <c r="X25" s="650"/>
      <c r="Y25" s="650"/>
      <c r="Z25" s="650"/>
      <c r="AA25" s="650"/>
      <c r="AB25" s="650"/>
      <c r="AC25" s="650"/>
      <c r="AD25" s="650"/>
      <c r="AE25" s="650"/>
      <c r="AF25" s="670">
        <f>SUM(AF23:AF24)</f>
        <v>10.65649</v>
      </c>
      <c r="AG25" s="665" t="s">
        <v>638</v>
      </c>
      <c r="AH25" s="667" t="str">
        <f>AG21</f>
        <v>total</v>
      </c>
      <c r="AI25" s="665"/>
      <c r="AJ25" s="665"/>
      <c r="AK25" s="665"/>
      <c r="AL25" s="665"/>
      <c r="AM25" s="665"/>
      <c r="AN25" s="665"/>
      <c r="AO25" s="665"/>
      <c r="AP25" s="665"/>
      <c r="AQ25" s="665"/>
    </row>
    <row r="26" spans="1:43" x14ac:dyDescent="0.25">
      <c r="B26" s="637">
        <f>B25*365</f>
        <v>3889.6188499999998</v>
      </c>
      <c r="C26" s="632" t="s">
        <v>362</v>
      </c>
      <c r="D26" s="632"/>
      <c r="E26" s="632"/>
      <c r="F26" s="632"/>
      <c r="G26" s="632"/>
      <c r="H26" s="632"/>
      <c r="I26" s="632"/>
      <c r="J26" s="632"/>
      <c r="K26" s="632"/>
      <c r="L26" s="632"/>
      <c r="N26" s="654">
        <f>N25*365</f>
        <v>3889.6188499999998</v>
      </c>
      <c r="O26" s="650" t="s">
        <v>362</v>
      </c>
      <c r="P26" s="650"/>
      <c r="Q26" s="650"/>
      <c r="R26" s="650"/>
      <c r="S26" s="650"/>
      <c r="T26" s="650"/>
      <c r="U26" s="650"/>
      <c r="V26" s="650"/>
      <c r="W26" s="650"/>
      <c r="X26" s="650"/>
      <c r="Y26" s="650"/>
      <c r="Z26" s="650"/>
      <c r="AA26" s="650"/>
      <c r="AB26" s="650"/>
      <c r="AC26" s="650"/>
      <c r="AD26" s="650"/>
      <c r="AE26" s="650"/>
      <c r="AF26" s="671">
        <f>AF25*365</f>
        <v>3889.6188499999998</v>
      </c>
      <c r="AG26" s="665" t="s">
        <v>639</v>
      </c>
      <c r="AH26" s="670"/>
      <c r="AI26" s="665"/>
      <c r="AJ26" s="665"/>
      <c r="AK26" s="665"/>
      <c r="AL26" s="665"/>
      <c r="AM26" s="665"/>
      <c r="AN26" s="665"/>
      <c r="AO26" s="665"/>
      <c r="AP26" s="665"/>
      <c r="AQ26" s="665"/>
    </row>
    <row r="27" spans="1:43" ht="18.75" x14ac:dyDescent="0.3">
      <c r="A27" s="692" t="s">
        <v>574</v>
      </c>
      <c r="B27" s="635"/>
      <c r="C27" s="632"/>
      <c r="D27" s="632"/>
      <c r="E27" s="632"/>
      <c r="F27" s="632"/>
      <c r="G27" s="632"/>
      <c r="H27" s="632"/>
      <c r="I27" s="632"/>
      <c r="J27" s="632"/>
      <c r="K27" s="632"/>
      <c r="L27" s="632"/>
      <c r="N27" s="655"/>
      <c r="O27" s="650"/>
      <c r="P27" s="650"/>
      <c r="Q27" s="650"/>
      <c r="R27" s="650"/>
      <c r="S27" s="650"/>
      <c r="T27" s="650"/>
      <c r="U27" s="650"/>
      <c r="V27" s="650"/>
      <c r="W27" s="650"/>
      <c r="X27" s="650"/>
      <c r="Y27" s="650"/>
      <c r="Z27" s="650"/>
      <c r="AA27" s="650"/>
      <c r="AB27" s="650"/>
      <c r="AC27" s="650"/>
      <c r="AD27" s="650"/>
      <c r="AE27" s="650"/>
      <c r="AF27" s="665"/>
      <c r="AG27" s="665"/>
      <c r="AH27" s="665"/>
      <c r="AI27" s="665"/>
      <c r="AJ27" s="665"/>
      <c r="AK27" s="665"/>
      <c r="AL27" s="665"/>
      <c r="AM27" s="665"/>
      <c r="AN27" s="665"/>
      <c r="AO27" s="665"/>
      <c r="AP27" s="665"/>
      <c r="AQ27" s="665"/>
    </row>
    <row r="28" spans="1:43" x14ac:dyDescent="0.25">
      <c r="A28" t="s">
        <v>306</v>
      </c>
      <c r="B28" s="637">
        <f>B23*2000*365/($Y$7*B$19)</f>
        <v>8000038.7700534761</v>
      </c>
      <c r="C28" s="632" t="s">
        <v>331</v>
      </c>
      <c r="D28" s="632"/>
      <c r="E28" s="632"/>
      <c r="F28" s="632"/>
      <c r="G28" s="632"/>
      <c r="H28" s="632"/>
      <c r="I28" s="632"/>
      <c r="J28" s="632"/>
      <c r="K28" s="632"/>
      <c r="L28" s="632"/>
      <c r="N28" s="654">
        <f>'Nutrient Inputs'!E3</f>
        <v>8000038.7700534752</v>
      </c>
      <c r="O28" s="650" t="s">
        <v>331</v>
      </c>
      <c r="P28" s="650"/>
      <c r="Q28" s="650"/>
      <c r="R28" s="650"/>
      <c r="S28" s="650"/>
      <c r="T28" s="650"/>
      <c r="U28" s="650"/>
      <c r="V28" s="650"/>
      <c r="W28" s="650"/>
      <c r="X28" s="650"/>
      <c r="Y28" s="650"/>
      <c r="Z28" s="650"/>
      <c r="AA28" s="650"/>
      <c r="AB28" s="650"/>
      <c r="AC28" s="650"/>
      <c r="AD28" s="650"/>
      <c r="AE28" s="650"/>
      <c r="AF28" s="671"/>
      <c r="AG28" s="665"/>
      <c r="AH28" s="665"/>
      <c r="AI28" s="665"/>
      <c r="AJ28" s="665"/>
      <c r="AK28" s="665"/>
      <c r="AL28" s="665"/>
      <c r="AM28" s="665"/>
      <c r="AN28" s="665"/>
      <c r="AO28" s="665"/>
      <c r="AP28" s="665"/>
      <c r="AQ28" s="665"/>
    </row>
    <row r="29" spans="1:43" x14ac:dyDescent="0.25">
      <c r="A29" t="s">
        <v>328</v>
      </c>
      <c r="B29" s="635"/>
      <c r="C29" s="632"/>
      <c r="D29" s="632"/>
      <c r="E29" s="632"/>
      <c r="F29" s="632"/>
      <c r="G29" s="632"/>
      <c r="H29" s="632"/>
      <c r="I29" s="632"/>
      <c r="J29" s="632"/>
      <c r="K29" s="632"/>
      <c r="L29" s="632"/>
      <c r="N29" s="655"/>
      <c r="O29" s="650"/>
      <c r="P29" s="650"/>
      <c r="Q29" s="650"/>
      <c r="R29" s="650"/>
      <c r="S29" s="650"/>
      <c r="T29" s="650"/>
      <c r="U29" s="650"/>
      <c r="V29" s="650"/>
      <c r="W29" s="650"/>
      <c r="X29" s="650"/>
      <c r="Y29" s="650"/>
      <c r="Z29" s="650"/>
      <c r="AA29" s="650"/>
      <c r="AB29" s="650"/>
      <c r="AC29" s="650"/>
      <c r="AD29" s="650"/>
      <c r="AE29" s="650"/>
      <c r="AF29" s="671">
        <f>AF24*2000*365/($Y$7*AF$20)</f>
        <v>0</v>
      </c>
      <c r="AG29" s="665" t="s">
        <v>331</v>
      </c>
      <c r="AH29" s="665"/>
      <c r="AI29" s="665"/>
      <c r="AJ29" s="665"/>
      <c r="AK29" s="665"/>
      <c r="AL29" s="665"/>
      <c r="AM29" s="665"/>
      <c r="AN29" s="665"/>
      <c r="AO29" s="665"/>
      <c r="AP29" s="665"/>
      <c r="AQ29" s="665"/>
    </row>
    <row r="30" spans="1:43" x14ac:dyDescent="0.25">
      <c r="A30" t="s">
        <v>329</v>
      </c>
      <c r="B30" s="637">
        <f>'Key inputs &amp; Outputs'!F4*'Key inputs &amp; Outputs'!F5*365/Y7</f>
        <v>8000038.7700534752</v>
      </c>
      <c r="C30" s="632" t="s">
        <v>331</v>
      </c>
      <c r="D30" s="632"/>
      <c r="E30" s="632"/>
      <c r="F30" s="632"/>
      <c r="G30" s="632"/>
      <c r="H30" s="632"/>
      <c r="I30" s="632"/>
      <c r="J30" s="632"/>
      <c r="K30" s="632"/>
      <c r="L30" s="632"/>
      <c r="N30" s="654">
        <f>N25*2000*365/($Y$7*N$21)</f>
        <v>8000038.7700534761</v>
      </c>
      <c r="O30" s="650" t="s">
        <v>331</v>
      </c>
      <c r="P30" s="650"/>
      <c r="Q30" s="650"/>
      <c r="R30" s="650"/>
      <c r="S30" s="650"/>
      <c r="T30" s="650"/>
      <c r="U30" s="650"/>
      <c r="V30" s="650"/>
      <c r="W30" s="650"/>
      <c r="X30" s="650"/>
      <c r="Y30" s="650"/>
      <c r="Z30" s="650"/>
      <c r="AA30" s="650"/>
      <c r="AB30" s="650"/>
      <c r="AC30" s="650"/>
      <c r="AD30" s="650"/>
      <c r="AE30" s="650"/>
      <c r="AF30" s="671">
        <f>AF25*2000*365/($Y$7*AF$21)</f>
        <v>8000038.7700534761</v>
      </c>
      <c r="AG30" s="665" t="s">
        <v>331</v>
      </c>
      <c r="AH30" s="671"/>
      <c r="AI30" s="665"/>
      <c r="AJ30" s="665"/>
      <c r="AK30" s="665"/>
      <c r="AL30" s="665"/>
      <c r="AM30" s="665"/>
      <c r="AN30" s="665"/>
      <c r="AO30" s="665"/>
      <c r="AP30" s="665"/>
      <c r="AQ30" s="665"/>
    </row>
    <row r="31" spans="1:43" x14ac:dyDescent="0.25">
      <c r="A31" s="404" t="s">
        <v>330</v>
      </c>
      <c r="B31" s="637"/>
      <c r="C31" s="632"/>
      <c r="D31" s="632"/>
      <c r="E31" s="632"/>
      <c r="F31" s="632"/>
      <c r="G31" s="632"/>
      <c r="H31" s="632"/>
      <c r="I31" s="632"/>
      <c r="J31" s="632"/>
      <c r="K31" s="632"/>
      <c r="L31" s="632"/>
      <c r="N31" s="650"/>
      <c r="O31" s="650"/>
      <c r="P31" s="650"/>
      <c r="Q31" s="650"/>
      <c r="R31" s="650"/>
      <c r="S31" s="650"/>
      <c r="T31" s="654"/>
      <c r="U31" s="654"/>
      <c r="V31" s="654"/>
      <c r="W31" s="654"/>
      <c r="X31" s="650"/>
      <c r="Y31" s="650"/>
      <c r="Z31" s="650"/>
      <c r="AA31" s="650"/>
      <c r="AB31" s="650"/>
      <c r="AC31" s="650"/>
      <c r="AD31" s="650"/>
      <c r="AE31" s="650"/>
      <c r="AF31" s="784" t="s">
        <v>326</v>
      </c>
      <c r="AG31" s="785" t="s">
        <v>601</v>
      </c>
      <c r="AH31" s="671"/>
      <c r="AI31" s="665"/>
      <c r="AJ31" s="665"/>
      <c r="AK31" s="665"/>
      <c r="AL31" s="665"/>
      <c r="AM31" s="665"/>
      <c r="AN31" s="665"/>
      <c r="AO31" s="665"/>
      <c r="AP31" s="665"/>
      <c r="AQ31" s="665"/>
    </row>
    <row r="32" spans="1:43" x14ac:dyDescent="0.25">
      <c r="A32" t="s">
        <v>627</v>
      </c>
      <c r="B32" s="637"/>
      <c r="C32" s="632"/>
      <c r="D32" s="632"/>
      <c r="E32" s="632"/>
      <c r="F32" s="632"/>
      <c r="G32" s="632"/>
      <c r="H32" s="632"/>
      <c r="I32" s="632"/>
      <c r="J32" s="632"/>
      <c r="K32" s="632"/>
      <c r="L32" s="632"/>
      <c r="N32" s="655">
        <f>N20*'Key inputs &amp; Outputs'!F7</f>
        <v>75.41516</v>
      </c>
      <c r="O32" s="650" t="s">
        <v>323</v>
      </c>
      <c r="P32" s="650" t="s">
        <v>627</v>
      </c>
      <c r="Q32" s="650"/>
      <c r="R32" s="650"/>
      <c r="S32" s="650"/>
      <c r="T32" s="654"/>
      <c r="U32" s="654"/>
      <c r="V32" s="654"/>
      <c r="W32" s="654"/>
      <c r="X32" s="650"/>
      <c r="Y32" s="650"/>
      <c r="Z32" s="650"/>
      <c r="AA32" s="650"/>
      <c r="AB32" s="650"/>
      <c r="AC32" s="650"/>
      <c r="AD32" s="650"/>
      <c r="AE32" s="650"/>
      <c r="AF32" s="671">
        <f t="shared" ref="AF32:AF38" si="0">AG32+N32</f>
        <v>75.41516</v>
      </c>
      <c r="AG32" s="746">
        <f>AG33/(Switchgrass_Key_Inputs!D23)</f>
        <v>0</v>
      </c>
      <c r="AH32" s="665" t="s">
        <v>323</v>
      </c>
      <c r="AI32" s="671" t="s">
        <v>627</v>
      </c>
      <c r="AJ32" s="665"/>
      <c r="AK32" s="665"/>
      <c r="AL32" s="665"/>
      <c r="AM32" s="665"/>
      <c r="AN32" s="665"/>
      <c r="AO32" s="665"/>
      <c r="AP32" s="665"/>
      <c r="AQ32" s="665"/>
    </row>
    <row r="33" spans="1:52" x14ac:dyDescent="0.25">
      <c r="A33" t="s">
        <v>626</v>
      </c>
      <c r="B33" s="637"/>
      <c r="C33" s="632"/>
      <c r="D33" s="632"/>
      <c r="E33" s="632"/>
      <c r="F33" s="632"/>
      <c r="G33" s="632"/>
      <c r="H33" s="632"/>
      <c r="I33" s="632"/>
      <c r="J33" s="632"/>
      <c r="K33" s="632"/>
      <c r="L33" s="632"/>
      <c r="N33" s="655">
        <f>N25*'Nutrient Inputs'!E8</f>
        <v>7.9923675000000003</v>
      </c>
      <c r="O33" s="650" t="s">
        <v>323</v>
      </c>
      <c r="P33" s="650" t="s">
        <v>626</v>
      </c>
      <c r="Q33" s="650"/>
      <c r="R33" s="650"/>
      <c r="S33" s="650"/>
      <c r="T33" s="654"/>
      <c r="U33" s="654"/>
      <c r="V33" s="654"/>
      <c r="W33" s="650" t="s">
        <v>744</v>
      </c>
      <c r="X33" s="650"/>
      <c r="Y33" s="650"/>
      <c r="Z33" s="650"/>
      <c r="AA33" s="650"/>
      <c r="AB33" s="650"/>
      <c r="AC33" s="650"/>
      <c r="AD33" s="650"/>
      <c r="AE33" s="650"/>
      <c r="AF33" s="671">
        <f t="shared" si="0"/>
        <v>7.9923675000000003</v>
      </c>
      <c r="AG33" s="746">
        <f>(Switchgrass_Key_Inputs!L22*Switchgrass_Key_Inputs!D28)/365</f>
        <v>0</v>
      </c>
      <c r="AH33" s="665" t="s">
        <v>323</v>
      </c>
      <c r="AI33" s="671" t="s">
        <v>626</v>
      </c>
      <c r="AJ33" s="665"/>
      <c r="AK33" s="665"/>
      <c r="AL33" s="665"/>
      <c r="AM33" s="665"/>
      <c r="AN33" s="665"/>
      <c r="AO33" s="665"/>
      <c r="AP33" s="665"/>
      <c r="AQ33" s="665"/>
    </row>
    <row r="34" spans="1:52" x14ac:dyDescent="0.25">
      <c r="A34" t="s">
        <v>551</v>
      </c>
      <c r="B34" s="637"/>
      <c r="C34" s="632"/>
      <c r="D34" s="632"/>
      <c r="E34" s="632"/>
      <c r="F34" s="632"/>
      <c r="G34" s="632"/>
      <c r="H34" s="632"/>
      <c r="I34" s="632"/>
      <c r="J34" s="632"/>
      <c r="K34" s="632"/>
      <c r="L34" s="632"/>
      <c r="N34" s="654">
        <f>(N20*'Nutrient Inputs'!D41)/((1000*$Y$7))*2000*365</f>
        <v>273521.32554812828</v>
      </c>
      <c r="O34" s="650" t="s">
        <v>630</v>
      </c>
      <c r="P34" s="650" t="s">
        <v>551</v>
      </c>
      <c r="Q34" s="650"/>
      <c r="R34" s="650"/>
      <c r="S34" s="650"/>
      <c r="T34" s="654"/>
      <c r="U34" s="654"/>
      <c r="V34" s="654"/>
      <c r="W34" s="789">
        <f>N41/N41</f>
        <v>1</v>
      </c>
      <c r="X34" s="650"/>
      <c r="Y34" s="650"/>
      <c r="Z34" s="650"/>
      <c r="AA34" s="650"/>
      <c r="AB34" s="650"/>
      <c r="AC34" s="650"/>
      <c r="AD34" s="650"/>
      <c r="AE34" s="650"/>
      <c r="AF34" s="671">
        <f t="shared" si="0"/>
        <v>273521.32554812828</v>
      </c>
      <c r="AG34" s="671">
        <f>AG33*'Nutrient Inputs'!D46*2000*365</f>
        <v>0</v>
      </c>
      <c r="AH34" s="665" t="s">
        <v>630</v>
      </c>
      <c r="AI34" s="671" t="s">
        <v>551</v>
      </c>
      <c r="AJ34" s="665"/>
      <c r="AK34" s="665"/>
      <c r="AL34" s="665"/>
      <c r="AM34" s="665"/>
      <c r="AN34" s="665"/>
      <c r="AO34" s="665"/>
      <c r="AP34" s="665"/>
      <c r="AQ34" s="665"/>
    </row>
    <row r="35" spans="1:52" x14ac:dyDescent="0.25">
      <c r="A35" t="s">
        <v>605</v>
      </c>
      <c r="B35" s="637"/>
      <c r="C35" s="632"/>
      <c r="D35" s="632"/>
      <c r="E35" s="632"/>
      <c r="F35" s="632"/>
      <c r="G35" s="632"/>
      <c r="H35" s="632"/>
      <c r="I35" s="632"/>
      <c r="J35" s="637"/>
      <c r="K35" s="637"/>
      <c r="L35" s="637"/>
      <c r="M35" s="654"/>
      <c r="N35" s="654">
        <f>((N20*'Nutrient Inputs'!E41)/((1000*$Y$7))+'Nutrient Inputs'!E24*(N20*'Nutrient Inputs'!F41)/((1000*$Y$7)))*2000*365</f>
        <v>148640.7203475936</v>
      </c>
      <c r="O35" s="650" t="s">
        <v>630</v>
      </c>
      <c r="P35" s="650" t="s">
        <v>605</v>
      </c>
      <c r="Q35" s="650"/>
      <c r="R35" s="650"/>
      <c r="S35" s="650"/>
      <c r="T35" s="654"/>
      <c r="U35" s="654"/>
      <c r="V35" s="654"/>
      <c r="W35" s="654"/>
      <c r="X35" s="650"/>
      <c r="Y35" s="650"/>
      <c r="Z35" s="650"/>
      <c r="AA35" s="650"/>
      <c r="AB35" s="650"/>
      <c r="AC35" s="650"/>
      <c r="AD35" s="650"/>
      <c r="AE35" s="650"/>
      <c r="AF35" s="671">
        <f t="shared" si="0"/>
        <v>148640.7203475936</v>
      </c>
      <c r="AG35" s="671">
        <f>AG33*'Nutrient Inputs'!E46*2000*365</f>
        <v>0</v>
      </c>
      <c r="AH35" s="665" t="s">
        <v>630</v>
      </c>
      <c r="AI35" s="671" t="s">
        <v>605</v>
      </c>
      <c r="AJ35" s="665"/>
      <c r="AK35" s="665"/>
      <c r="AL35" s="665"/>
      <c r="AM35" s="665"/>
      <c r="AN35" s="665"/>
      <c r="AO35" s="665"/>
      <c r="AP35" s="665"/>
      <c r="AQ35" s="665"/>
    </row>
    <row r="36" spans="1:52" x14ac:dyDescent="0.25">
      <c r="A36" t="s">
        <v>606</v>
      </c>
      <c r="B36" s="637"/>
      <c r="C36" s="632"/>
      <c r="D36" s="632"/>
      <c r="E36" s="632"/>
      <c r="F36" s="632"/>
      <c r="G36" s="632"/>
      <c r="H36" s="632"/>
      <c r="I36" s="632"/>
      <c r="J36" s="632"/>
      <c r="K36" s="632"/>
      <c r="L36" s="632"/>
      <c r="N36" s="654">
        <f>N34-N35</f>
        <v>124880.60520053469</v>
      </c>
      <c r="O36" s="650" t="s">
        <v>630</v>
      </c>
      <c r="P36" s="650" t="s">
        <v>606</v>
      </c>
      <c r="Q36" s="650"/>
      <c r="R36" s="650"/>
      <c r="S36" s="650"/>
      <c r="T36" s="654"/>
      <c r="U36" s="654"/>
      <c r="V36" s="654"/>
      <c r="W36" s="654"/>
      <c r="X36" s="650"/>
      <c r="Y36" s="650"/>
      <c r="Z36" s="650"/>
      <c r="AA36" s="650"/>
      <c r="AB36" s="650"/>
      <c r="AC36" s="650"/>
      <c r="AD36" s="650"/>
      <c r="AE36" s="650"/>
      <c r="AF36" s="671">
        <f t="shared" si="0"/>
        <v>124880.60520053469</v>
      </c>
      <c r="AG36" s="671">
        <f>AG34-AG35</f>
        <v>0</v>
      </c>
      <c r="AH36" s="665" t="s">
        <v>630</v>
      </c>
      <c r="AI36" s="671" t="s">
        <v>606</v>
      </c>
      <c r="AJ36" s="665"/>
      <c r="AK36" s="665"/>
      <c r="AL36" s="665"/>
      <c r="AM36" s="665"/>
      <c r="AN36" s="665"/>
      <c r="AO36" s="665"/>
      <c r="AP36" s="665"/>
      <c r="AQ36" s="665"/>
    </row>
    <row r="37" spans="1:52" x14ac:dyDescent="0.25">
      <c r="A37" t="s">
        <v>628</v>
      </c>
      <c r="B37" s="637"/>
      <c r="C37" s="632"/>
      <c r="D37" s="632"/>
      <c r="E37" s="632"/>
      <c r="F37" s="632"/>
      <c r="G37" s="632"/>
      <c r="H37" s="632"/>
      <c r="I37" s="632"/>
      <c r="J37" s="632"/>
      <c r="K37" s="632"/>
      <c r="L37" s="632"/>
      <c r="N37" s="654">
        <f>(N20*'Nutrient Inputs'!G41)/((1000*$Y$7))*2000*365</f>
        <v>101920.49393048129</v>
      </c>
      <c r="O37" s="650" t="s">
        <v>630</v>
      </c>
      <c r="P37" s="650" t="s">
        <v>628</v>
      </c>
      <c r="Q37" s="650"/>
      <c r="R37" s="650"/>
      <c r="S37" s="650"/>
      <c r="T37" s="654"/>
      <c r="U37" s="654"/>
      <c r="V37" s="654"/>
      <c r="W37" s="654"/>
      <c r="X37" s="650"/>
      <c r="Y37" s="650"/>
      <c r="Z37" s="650"/>
      <c r="AA37" s="650"/>
      <c r="AB37" s="650"/>
      <c r="AC37" s="650"/>
      <c r="AD37" s="650"/>
      <c r="AE37" s="650"/>
      <c r="AF37" s="671">
        <f t="shared" si="0"/>
        <v>101920.49393048129</v>
      </c>
      <c r="AG37" s="671">
        <f>AG33*'Nutrient Inputs'!G46*2000*365</f>
        <v>0</v>
      </c>
      <c r="AH37" s="665" t="s">
        <v>630</v>
      </c>
      <c r="AI37" s="671" t="s">
        <v>628</v>
      </c>
      <c r="AJ37" s="665"/>
      <c r="AK37" s="665"/>
      <c r="AL37" s="665"/>
      <c r="AM37" s="665"/>
      <c r="AN37" s="665"/>
      <c r="AO37" s="665"/>
      <c r="AP37" s="665"/>
      <c r="AQ37" s="665"/>
    </row>
    <row r="38" spans="1:52" x14ac:dyDescent="0.25">
      <c r="A38" t="s">
        <v>629</v>
      </c>
      <c r="B38" s="637"/>
      <c r="C38" s="632"/>
      <c r="D38" s="632"/>
      <c r="E38" s="632"/>
      <c r="F38" s="632"/>
      <c r="G38" s="632"/>
      <c r="H38" s="632"/>
      <c r="I38" s="632"/>
      <c r="J38" s="632"/>
      <c r="K38" s="632"/>
      <c r="L38" s="632"/>
      <c r="N38" s="654">
        <f>(N20*'Nutrient Inputs'!H41)/((1000*$Y$7))*2000*365</f>
        <v>221441.07315508017</v>
      </c>
      <c r="O38" s="650" t="s">
        <v>630</v>
      </c>
      <c r="P38" s="650" t="s">
        <v>629</v>
      </c>
      <c r="Q38" s="650"/>
      <c r="R38" s="650"/>
      <c r="S38" s="650"/>
      <c r="T38" s="654"/>
      <c r="U38" s="654"/>
      <c r="V38" s="654"/>
      <c r="W38" s="654"/>
      <c r="X38" s="830" t="s">
        <v>694</v>
      </c>
      <c r="Y38" s="650"/>
      <c r="Z38" s="650"/>
      <c r="AA38" s="650"/>
      <c r="AB38" s="650"/>
      <c r="AC38" s="650"/>
      <c r="AD38" s="650"/>
      <c r="AE38" s="650"/>
      <c r="AF38" s="671">
        <f t="shared" si="0"/>
        <v>221441.07315508017</v>
      </c>
      <c r="AG38" s="671">
        <f>AG33*'Nutrient Inputs'!H46*2000*365</f>
        <v>0</v>
      </c>
      <c r="AH38" s="665" t="s">
        <v>630</v>
      </c>
      <c r="AI38" s="671" t="s">
        <v>629</v>
      </c>
      <c r="AJ38" s="665"/>
      <c r="AK38" s="665"/>
      <c r="AL38" s="665"/>
      <c r="AM38" s="665"/>
      <c r="AN38" s="665"/>
      <c r="AO38" s="665"/>
      <c r="AP38" s="665"/>
      <c r="AQ38" s="665"/>
    </row>
    <row r="39" spans="1:52" x14ac:dyDescent="0.25">
      <c r="B39" s="637"/>
      <c r="C39" s="637"/>
      <c r="D39" s="632"/>
      <c r="E39" s="632"/>
      <c r="F39" s="632"/>
      <c r="G39" s="632"/>
      <c r="H39" s="632"/>
      <c r="I39" s="632"/>
      <c r="J39" s="632"/>
      <c r="K39" s="632"/>
      <c r="L39" s="632"/>
      <c r="N39" s="747">
        <f>N40*'Nutrient Inputs'!E18</f>
        <v>2.1611430992957747</v>
      </c>
      <c r="O39" s="650" t="s">
        <v>323</v>
      </c>
      <c r="P39" s="650" t="s">
        <v>745</v>
      </c>
      <c r="Q39" s="650"/>
      <c r="R39" s="650"/>
      <c r="S39" s="650"/>
      <c r="T39" s="650"/>
      <c r="U39" s="650"/>
      <c r="V39" s="650"/>
      <c r="W39" s="650"/>
      <c r="X39" s="651">
        <f>X40/365</f>
        <v>6.7541133802816899</v>
      </c>
      <c r="Y39" s="650" t="s">
        <v>323</v>
      </c>
      <c r="Z39" s="650"/>
      <c r="AA39" s="650"/>
      <c r="AB39" s="650"/>
      <c r="AC39" s="650"/>
      <c r="AD39" s="650"/>
      <c r="AE39" s="650"/>
      <c r="AF39" s="672"/>
      <c r="AG39" s="672"/>
      <c r="AH39" s="665"/>
      <c r="AI39" s="665"/>
      <c r="AJ39" s="665"/>
      <c r="AK39" s="665"/>
      <c r="AL39" s="665"/>
      <c r="AM39" s="665"/>
      <c r="AN39" s="665"/>
      <c r="AO39" s="665"/>
      <c r="AP39" s="665"/>
      <c r="AQ39" s="665"/>
    </row>
    <row r="40" spans="1:52" x14ac:dyDescent="0.25">
      <c r="A40" t="s">
        <v>306</v>
      </c>
      <c r="B40" s="638">
        <f>B15</f>
        <v>81.972999999999999</v>
      </c>
      <c r="C40" s="638" t="str">
        <f>C15</f>
        <v>tons/day of manure</v>
      </c>
      <c r="D40" s="632"/>
      <c r="E40" s="632"/>
      <c r="F40" s="632"/>
      <c r="G40" s="632"/>
      <c r="H40" s="632"/>
      <c r="I40" s="632"/>
      <c r="J40" s="632"/>
      <c r="K40" s="632"/>
      <c r="L40" s="632"/>
      <c r="N40" s="654">
        <f>N41*Y7/(2000*365)</f>
        <v>72.038103309859167</v>
      </c>
      <c r="O40" s="650" t="s">
        <v>323</v>
      </c>
      <c r="P40" s="650" t="s">
        <v>746</v>
      </c>
      <c r="Q40" s="650"/>
      <c r="R40" s="650"/>
      <c r="S40" s="650"/>
      <c r="T40" s="650"/>
      <c r="U40" s="650"/>
      <c r="V40" s="650"/>
      <c r="W40" s="650"/>
      <c r="X40" s="654">
        <f>N77*(1-'Nutrient Inputs'!E17)</f>
        <v>2465.2513838028167</v>
      </c>
      <c r="Y40" s="650" t="s">
        <v>362</v>
      </c>
      <c r="Z40" s="650"/>
      <c r="AA40" s="650"/>
      <c r="AB40" s="650"/>
      <c r="AC40" s="650"/>
      <c r="AD40" s="650"/>
      <c r="AE40" s="650"/>
      <c r="AF40" s="671"/>
      <c r="AG40" s="665"/>
      <c r="AH40" s="665"/>
      <c r="AI40" s="665"/>
      <c r="AJ40" s="665"/>
      <c r="AK40" s="665"/>
      <c r="AL40" s="674"/>
      <c r="AM40" s="674"/>
      <c r="AN40" s="674"/>
      <c r="AO40" s="674"/>
      <c r="AP40" s="665"/>
      <c r="AQ40" s="665"/>
      <c r="AR40" s="671">
        <f>AF78*(1-'Nutrient Inputs'!E17)</f>
        <v>2465.2513838028167</v>
      </c>
      <c r="AS40" s="665" t="s">
        <v>362</v>
      </c>
      <c r="AT40" s="665" t="s">
        <v>624</v>
      </c>
      <c r="AU40" s="665"/>
      <c r="AV40" s="665"/>
      <c r="AW40" s="665"/>
      <c r="AX40" s="665"/>
      <c r="AY40" s="665"/>
    </row>
    <row r="41" spans="1:52" x14ac:dyDescent="0.25">
      <c r="A41" t="s">
        <v>333</v>
      </c>
      <c r="B41" s="637">
        <f>B40*2000*365/($Y$7)</f>
        <v>8000038.7700534752</v>
      </c>
      <c r="C41" s="632" t="s">
        <v>331</v>
      </c>
      <c r="D41" s="632"/>
      <c r="E41" s="632"/>
      <c r="F41" s="632"/>
      <c r="G41" s="632"/>
      <c r="H41" s="632"/>
      <c r="I41" s="632"/>
      <c r="J41" s="632"/>
      <c r="K41" s="632"/>
      <c r="L41" s="632"/>
      <c r="M41" s="662"/>
      <c r="N41" s="654">
        <f>(N32*2000*365-X40*2000*(1-'Nutrient Inputs'!E17))/Y7</f>
        <v>7030456.6064434741</v>
      </c>
      <c r="O41" s="650" t="s">
        <v>331</v>
      </c>
      <c r="P41" s="650"/>
      <c r="Q41" s="650"/>
      <c r="R41" s="650"/>
      <c r="S41" s="650"/>
      <c r="T41" s="650"/>
      <c r="U41" s="650"/>
      <c r="V41" s="650"/>
      <c r="W41" s="650"/>
      <c r="X41" s="654"/>
      <c r="Y41" s="650"/>
      <c r="Z41" s="650"/>
      <c r="AA41" s="650"/>
      <c r="AB41" s="650"/>
      <c r="AC41" s="650"/>
      <c r="AD41" s="650"/>
      <c r="AE41" s="650"/>
      <c r="AF41" s="671">
        <f>N41</f>
        <v>7030456.6064434741</v>
      </c>
      <c r="AG41" s="665" t="s">
        <v>331</v>
      </c>
      <c r="AH41" s="665" t="s">
        <v>747</v>
      </c>
      <c r="AI41" s="665"/>
      <c r="AJ41" s="665"/>
      <c r="AK41" s="665"/>
      <c r="AL41" s="665"/>
      <c r="AM41" s="665"/>
      <c r="AN41" s="665"/>
      <c r="AO41" s="665"/>
      <c r="AP41" s="665"/>
      <c r="AQ41" s="665"/>
      <c r="AR41" s="673">
        <f>X41</f>
        <v>0</v>
      </c>
      <c r="AS41" s="665" t="s">
        <v>390</v>
      </c>
      <c r="AT41" s="665"/>
      <c r="AU41" s="665"/>
      <c r="AV41" s="665"/>
      <c r="AW41" s="665"/>
      <c r="AX41" s="665"/>
      <c r="AY41" s="665"/>
    </row>
    <row r="42" spans="1:52" s="686" customFormat="1" ht="18.75" x14ac:dyDescent="0.3">
      <c r="A42" s="686" t="s">
        <v>573</v>
      </c>
      <c r="B42" s="687"/>
      <c r="M42" s="687"/>
      <c r="N42" s="687"/>
      <c r="AF42" s="688"/>
      <c r="AR42" s="665"/>
    </row>
    <row r="43" spans="1:52" ht="60" x14ac:dyDescent="0.25">
      <c r="B43" s="639" t="s">
        <v>572</v>
      </c>
      <c r="C43" s="632" t="s">
        <v>239</v>
      </c>
      <c r="D43" s="639" t="s">
        <v>334</v>
      </c>
      <c r="E43" s="640" t="s">
        <v>548</v>
      </c>
      <c r="F43" s="639" t="s">
        <v>240</v>
      </c>
      <c r="G43" s="639"/>
      <c r="H43" s="639"/>
      <c r="I43" s="639"/>
      <c r="J43" s="632" t="s">
        <v>241</v>
      </c>
      <c r="K43" s="632"/>
      <c r="L43" s="632"/>
      <c r="N43" s="658" t="s">
        <v>748</v>
      </c>
      <c r="O43" s="658" t="s">
        <v>749</v>
      </c>
      <c r="P43" s="650"/>
      <c r="Q43" s="650"/>
      <c r="R43" s="650"/>
      <c r="S43" s="650"/>
      <c r="T43" s="658" t="s">
        <v>708</v>
      </c>
      <c r="U43" s="658"/>
      <c r="V43" s="834"/>
      <c r="W43" s="835" t="s">
        <v>709</v>
      </c>
      <c r="X43" s="834"/>
      <c r="Y43" s="835" t="s">
        <v>619</v>
      </c>
      <c r="Z43" s="658" t="s">
        <v>750</v>
      </c>
      <c r="AA43" s="650"/>
      <c r="AB43" s="650"/>
      <c r="AC43" s="650"/>
      <c r="AD43" s="650"/>
      <c r="AE43" s="650"/>
      <c r="AF43" s="665" t="s">
        <v>238</v>
      </c>
      <c r="AG43" s="675" t="s">
        <v>336</v>
      </c>
      <c r="AH43" s="675" t="s">
        <v>335</v>
      </c>
      <c r="AI43" s="675" t="s">
        <v>749</v>
      </c>
      <c r="AJ43" s="675" t="s">
        <v>748</v>
      </c>
      <c r="AK43" s="675" t="s">
        <v>240</v>
      </c>
      <c r="AL43" s="665" t="s">
        <v>241</v>
      </c>
      <c r="AM43" s="665"/>
      <c r="AN43" s="665"/>
      <c r="AO43" s="665"/>
      <c r="AP43" s="675"/>
      <c r="AQ43" s="675"/>
      <c r="AR43" s="875" t="s">
        <v>709</v>
      </c>
      <c r="AS43" s="875" t="s">
        <v>240</v>
      </c>
      <c r="AT43" s="847" t="s">
        <v>241</v>
      </c>
      <c r="AU43" s="675"/>
      <c r="AV43" s="874" t="s">
        <v>750</v>
      </c>
      <c r="AW43" s="665"/>
      <c r="AX43" s="665"/>
      <c r="AY43" s="675"/>
      <c r="AZ43" s="665"/>
    </row>
    <row r="44" spans="1:52" ht="30" x14ac:dyDescent="0.25">
      <c r="A44" t="s">
        <v>635</v>
      </c>
      <c r="B44" s="641">
        <f>'Nutrient Inputs'!D41</f>
        <v>34.19</v>
      </c>
      <c r="C44" s="642"/>
      <c r="D44" s="637">
        <f>B44*$B$41/1000</f>
        <v>273521.32554812828</v>
      </c>
      <c r="E44" s="632"/>
      <c r="F44" s="632"/>
      <c r="G44" s="632"/>
      <c r="H44" s="632"/>
      <c r="I44" s="632"/>
      <c r="J44" s="632"/>
      <c r="K44" s="632"/>
      <c r="L44" s="632"/>
      <c r="N44" s="654">
        <f>N34*(1-'Nutrient Inputs'!D48*(1-'Nutrient Inputs'!E17))</f>
        <v>262580.47252620314</v>
      </c>
      <c r="O44" s="655">
        <f>N44*1000/$N$41</f>
        <v>37.348992707749012</v>
      </c>
      <c r="P44" s="650"/>
      <c r="Q44" s="650"/>
      <c r="R44" s="867" t="s">
        <v>725</v>
      </c>
      <c r="S44" s="650"/>
      <c r="T44" s="659">
        <f>'Nutrient Inputs'!D48</f>
        <v>0.08</v>
      </c>
      <c r="U44" s="659"/>
      <c r="V44" s="834"/>
      <c r="W44" s="836">
        <f>(N34-N44)</f>
        <v>10940.853021925141</v>
      </c>
      <c r="X44" s="837">
        <f>IF($X$40&gt;0,W44/($X$40*2000),0)</f>
        <v>2.2190136660724911E-3</v>
      </c>
      <c r="Y44" s="836">
        <f>'Nutrient Inputs'!D49/'Nutrient Inputs'!$E$21</f>
        <v>12.501485442661924</v>
      </c>
      <c r="Z44" s="654">
        <f t="shared" ref="Z44:Z46" si="1">N44+W44</f>
        <v>273521.32554812828</v>
      </c>
      <c r="AA44" s="650"/>
      <c r="AB44" s="650"/>
      <c r="AC44" s="654"/>
      <c r="AD44" s="659"/>
      <c r="AE44" s="659"/>
      <c r="AF44" s="665"/>
      <c r="AG44" s="676">
        <f>'Nutrient Inputs'!D46</f>
        <v>6.3388625592417057E-3</v>
      </c>
      <c r="AH44" s="671">
        <f>AG34*(1-$T$44)</f>
        <v>0</v>
      </c>
      <c r="AI44" s="668">
        <f>AJ44*1000/$AF$41</f>
        <v>37.348992707749012</v>
      </c>
      <c r="AJ44" s="671">
        <f>AH44+N44</f>
        <v>262580.47252620314</v>
      </c>
      <c r="AK44" s="665"/>
      <c r="AL44" s="665"/>
      <c r="AM44" s="665"/>
      <c r="AN44" s="665"/>
      <c r="AO44" s="665"/>
      <c r="AP44" s="666"/>
      <c r="AQ44" s="666"/>
      <c r="AR44" s="848">
        <f>(AF34-AJ44)</f>
        <v>10940.853021925141</v>
      </c>
      <c r="AS44" s="847"/>
      <c r="AT44" s="847"/>
      <c r="AU44" s="671"/>
      <c r="AV44" s="671">
        <f>AR44+AJ44</f>
        <v>273521.32554812828</v>
      </c>
      <c r="AW44" s="665"/>
      <c r="AX44" s="665"/>
      <c r="AY44" s="666"/>
      <c r="AZ44" s="665"/>
    </row>
    <row r="45" spans="1:52" x14ac:dyDescent="0.25">
      <c r="A45" t="s">
        <v>607</v>
      </c>
      <c r="B45" s="641">
        <f>'Nutrient Inputs'!E41</f>
        <v>11.89</v>
      </c>
      <c r="C45" s="642"/>
      <c r="D45" s="637">
        <f>B45*$B$41/1000</f>
        <v>95120.460975935828</v>
      </c>
      <c r="E45" s="632"/>
      <c r="F45" s="632"/>
      <c r="G45" s="632"/>
      <c r="H45" s="632"/>
      <c r="I45" s="632"/>
      <c r="J45" s="632"/>
      <c r="K45" s="632"/>
      <c r="L45" s="632"/>
      <c r="N45" s="654">
        <f>N35*(1-'Nutrient Inputs'!E48*(1-'Nutrient Inputs'!E17))</f>
        <v>143438.29513542782</v>
      </c>
      <c r="O45" s="655">
        <f t="shared" ref="O45:O48" si="2">N45*1000/$N$41</f>
        <v>20.402415257632825</v>
      </c>
      <c r="P45" s="650"/>
      <c r="Q45" s="650"/>
      <c r="R45" s="660">
        <f>'Nutrient Inputs'!D45</f>
        <v>0</v>
      </c>
      <c r="S45" s="650"/>
      <c r="T45" s="659">
        <f>'Nutrient Inputs'!E48</f>
        <v>7.0000000000000007E-2</v>
      </c>
      <c r="U45" s="659"/>
      <c r="V45" s="834"/>
      <c r="W45" s="836">
        <f t="shared" ref="W45:W48" si="3">(N35-N45)</f>
        <v>5202.4252121657773</v>
      </c>
      <c r="X45" s="837">
        <f>IF($X$40&gt;0,W45/($X$40*2000),0)</f>
        <v>1.0551510580922351E-3</v>
      </c>
      <c r="Y45" s="836">
        <f>'Nutrient Inputs'!E49/'Nutrient Inputs'!$E$21</f>
        <v>5.9445130033365352</v>
      </c>
      <c r="Z45" s="654">
        <f t="shared" si="1"/>
        <v>148640.7203475936</v>
      </c>
      <c r="AA45" s="650"/>
      <c r="AB45" s="650"/>
      <c r="AC45" s="650"/>
      <c r="AD45" s="659"/>
      <c r="AE45" s="659"/>
      <c r="AF45" s="665"/>
      <c r="AG45" s="676">
        <f>'Nutrient Inputs'!E46</f>
        <v>2.31042654028436E-6</v>
      </c>
      <c r="AH45" s="671">
        <f>AG35*(1-$T$44)</f>
        <v>0</v>
      </c>
      <c r="AI45" s="668">
        <f t="shared" ref="AI45:AI48" si="4">AJ45*1000/$AF$41</f>
        <v>20.402415257632825</v>
      </c>
      <c r="AJ45" s="671">
        <f t="shared" ref="AJ45:AJ48" si="5">AH45+N45</f>
        <v>143438.29513542782</v>
      </c>
      <c r="AK45" s="665"/>
      <c r="AL45" s="665"/>
      <c r="AM45" s="665"/>
      <c r="AN45" s="665"/>
      <c r="AO45" s="665"/>
      <c r="AP45" s="666"/>
      <c r="AQ45" s="666"/>
      <c r="AR45" s="848">
        <f t="shared" ref="AR45:AR48" si="6">(AF35-AJ45)</f>
        <v>5202.4252121657773</v>
      </c>
      <c r="AS45" s="847"/>
      <c r="AT45" s="847"/>
      <c r="AU45" s="671"/>
      <c r="AV45" s="671">
        <f>AR45+AJ45</f>
        <v>148640.7203475936</v>
      </c>
      <c r="AW45" s="665"/>
      <c r="AX45" s="665"/>
      <c r="AY45" s="666"/>
      <c r="AZ45" s="665"/>
    </row>
    <row r="46" spans="1:52" x14ac:dyDescent="0.25">
      <c r="A46" t="s">
        <v>608</v>
      </c>
      <c r="B46" s="641">
        <f>'Nutrient Inputs'!F41</f>
        <v>22.299999999999997</v>
      </c>
      <c r="C46" s="642"/>
      <c r="D46" s="637">
        <f>B46*$B$41/1000</f>
        <v>178400.86457219245</v>
      </c>
      <c r="E46" s="632"/>
      <c r="F46" s="632"/>
      <c r="G46" s="632"/>
      <c r="H46" s="632"/>
      <c r="I46" s="632"/>
      <c r="J46" s="632"/>
      <c r="K46" s="632"/>
      <c r="L46" s="632"/>
      <c r="M46" s="654"/>
      <c r="N46" s="654">
        <f>N44-N45</f>
        <v>119142.17739077532</v>
      </c>
      <c r="O46" s="655">
        <f t="shared" si="2"/>
        <v>16.946577450116184</v>
      </c>
      <c r="P46" s="650"/>
      <c r="Q46" s="650"/>
      <c r="R46" s="660">
        <f>'Nutrient Inputs'!G45</f>
        <v>0</v>
      </c>
      <c r="S46" s="650"/>
      <c r="T46" s="659">
        <f>N46/(N46+W46)</f>
        <v>0.95404868673926968</v>
      </c>
      <c r="U46" s="659"/>
      <c r="V46" s="834"/>
      <c r="W46" s="836">
        <f t="shared" si="3"/>
        <v>5738.4278097593633</v>
      </c>
      <c r="X46" s="837">
        <f>IF($X$40&gt;0,W46/($X$40*2000),0)</f>
        <v>1.1638626079802561E-3</v>
      </c>
      <c r="Y46" s="836">
        <f>'Nutrient Inputs'!F49/'Nutrient Inputs'!$E$21</f>
        <v>6.5569724393253876</v>
      </c>
      <c r="Z46" s="654">
        <f t="shared" si="1"/>
        <v>124880.60520053469</v>
      </c>
      <c r="AA46" s="650"/>
      <c r="AB46" s="650"/>
      <c r="AC46" s="650"/>
      <c r="AD46" s="659"/>
      <c r="AE46" s="659"/>
      <c r="AF46" s="665"/>
      <c r="AG46" s="676">
        <f>'Nutrient Inputs'!F46</f>
        <v>6.3365521327014215E-3</v>
      </c>
      <c r="AH46" s="671">
        <f>AH44-AH45</f>
        <v>0</v>
      </c>
      <c r="AI46" s="668">
        <f t="shared" si="4"/>
        <v>16.946577450116184</v>
      </c>
      <c r="AJ46" s="671">
        <f t="shared" si="5"/>
        <v>119142.17739077532</v>
      </c>
      <c r="AK46" s="665"/>
      <c r="AL46" s="665"/>
      <c r="AM46" s="665"/>
      <c r="AN46" s="665"/>
      <c r="AO46" s="665"/>
      <c r="AP46" s="666"/>
      <c r="AQ46" s="666"/>
      <c r="AR46" s="848">
        <f t="shared" si="6"/>
        <v>5738.4278097593633</v>
      </c>
      <c r="AS46" s="847"/>
      <c r="AT46" s="847"/>
      <c r="AU46" s="671"/>
      <c r="AV46" s="671">
        <f>AR46+AJ46</f>
        <v>124880.60520053469</v>
      </c>
      <c r="AW46" s="665"/>
      <c r="AX46" s="665"/>
      <c r="AY46" s="666"/>
      <c r="AZ46" s="665"/>
    </row>
    <row r="47" spans="1:52" x14ac:dyDescent="0.25">
      <c r="A47" t="s">
        <v>242</v>
      </c>
      <c r="B47" s="641">
        <f>'Nutrient Inputs'!G41</f>
        <v>12.74</v>
      </c>
      <c r="C47" s="642"/>
      <c r="D47" s="637">
        <f>B47*$B$41/1000</f>
        <v>101920.49393048127</v>
      </c>
      <c r="E47" s="632"/>
      <c r="F47" s="632"/>
      <c r="G47" s="632"/>
      <c r="H47" s="632"/>
      <c r="I47" s="632"/>
      <c r="J47" s="632"/>
      <c r="K47" s="632"/>
      <c r="L47" s="632"/>
      <c r="N47" s="654">
        <f>N37*(1-'Nutrient Inputs'!G48*(1-'Nutrient Inputs'!E17))</f>
        <v>84594.00996229946</v>
      </c>
      <c r="O47" s="655">
        <f t="shared" si="2"/>
        <v>12.032505809760396</v>
      </c>
      <c r="P47" s="650"/>
      <c r="Q47" s="650"/>
      <c r="R47" s="660">
        <f>'Nutrient Inputs'!H45</f>
        <v>0</v>
      </c>
      <c r="S47" s="650"/>
      <c r="T47" s="659">
        <f>'Nutrient Inputs'!G48</f>
        <v>0.34</v>
      </c>
      <c r="U47" s="659"/>
      <c r="V47" s="834"/>
      <c r="W47" s="836">
        <f t="shared" si="3"/>
        <v>17326.483968181827</v>
      </c>
      <c r="X47" s="837">
        <f>IF($X$40&gt;0,W47/($X$40*2000),0)</f>
        <v>3.5141414141414162E-3</v>
      </c>
      <c r="Y47" s="836">
        <f>'Nutrient Inputs'!G49/'Nutrient Inputs'!$E$21</f>
        <v>19.79797979797981</v>
      </c>
      <c r="Z47" s="654">
        <f>N47+W47</f>
        <v>101920.49393048129</v>
      </c>
      <c r="AA47" s="650"/>
      <c r="AB47" s="650"/>
      <c r="AC47" s="650"/>
      <c r="AD47" s="659"/>
      <c r="AE47" s="659"/>
      <c r="AF47" s="665"/>
      <c r="AG47" s="676">
        <f>'Nutrient Inputs'!G46</f>
        <v>1.7239336492890997E-3</v>
      </c>
      <c r="AH47" s="671">
        <f>AG37*(1-$T$44)</f>
        <v>0</v>
      </c>
      <c r="AI47" s="668">
        <f t="shared" si="4"/>
        <v>12.032505809760396</v>
      </c>
      <c r="AJ47" s="671">
        <f t="shared" si="5"/>
        <v>84594.00996229946</v>
      </c>
      <c r="AK47" s="665"/>
      <c r="AL47" s="665"/>
      <c r="AM47" s="665"/>
      <c r="AN47" s="665"/>
      <c r="AO47" s="665"/>
      <c r="AP47" s="666"/>
      <c r="AQ47" s="666"/>
      <c r="AR47" s="848">
        <f t="shared" si="6"/>
        <v>17326.483968181827</v>
      </c>
      <c r="AS47" s="847"/>
      <c r="AT47" s="847"/>
      <c r="AU47" s="671"/>
      <c r="AV47" s="671">
        <f>AR47+AJ47</f>
        <v>101920.49393048129</v>
      </c>
      <c r="AW47" s="665"/>
      <c r="AX47" s="665"/>
      <c r="AY47" s="666"/>
      <c r="AZ47" s="665"/>
    </row>
    <row r="48" spans="1:52" x14ac:dyDescent="0.25">
      <c r="A48" t="s">
        <v>243</v>
      </c>
      <c r="B48" s="641">
        <f>'Nutrient Inputs'!H41</f>
        <v>27.68</v>
      </c>
      <c r="C48" s="642"/>
      <c r="D48" s="637">
        <f>B48*$B$41/1000</f>
        <v>221441.0731550802</v>
      </c>
      <c r="E48" s="632"/>
      <c r="F48" s="632"/>
      <c r="G48" s="632"/>
      <c r="H48" s="632"/>
      <c r="I48" s="632"/>
      <c r="J48" s="632"/>
      <c r="K48" s="632"/>
      <c r="L48" s="632"/>
      <c r="N48" s="654">
        <f>N38*(1-'Nutrient Inputs'!H48*(1-'Nutrient Inputs'!E17))</f>
        <v>210369.01949732617</v>
      </c>
      <c r="O48" s="655">
        <f t="shared" si="2"/>
        <v>29.922525843416935</v>
      </c>
      <c r="P48" s="650"/>
      <c r="Q48" s="650"/>
      <c r="R48" s="650"/>
      <c r="S48" s="650"/>
      <c r="T48" s="659">
        <f>'Nutrient Inputs'!H48</f>
        <v>0.1</v>
      </c>
      <c r="U48" s="659"/>
      <c r="V48" s="834"/>
      <c r="W48" s="836">
        <f t="shared" si="3"/>
        <v>11072.053657754004</v>
      </c>
      <c r="X48" s="837">
        <f>IF($X$40&gt;0,W48/($X$40*2000),0)</f>
        <v>2.245623657388362E-3</v>
      </c>
      <c r="Y48" s="836">
        <f>'Nutrient Inputs'!H49/'Nutrient Inputs'!$E$21</f>
        <v>12.651400886694999</v>
      </c>
      <c r="Z48" s="654">
        <f>N48+W48</f>
        <v>221441.07315508017</v>
      </c>
      <c r="AA48" s="650"/>
      <c r="AB48" s="650"/>
      <c r="AC48" s="650"/>
      <c r="AD48" s="659"/>
      <c r="AE48" s="659"/>
      <c r="AF48" s="665"/>
      <c r="AG48" s="676">
        <f>'Nutrient Inputs'!H46</f>
        <v>1.4988151658767771E-3</v>
      </c>
      <c r="AH48" s="671">
        <f>AG38*(1-$T$44)</f>
        <v>0</v>
      </c>
      <c r="AI48" s="668">
        <f t="shared" si="4"/>
        <v>29.922525843416935</v>
      </c>
      <c r="AJ48" s="671">
        <f t="shared" si="5"/>
        <v>210369.01949732617</v>
      </c>
      <c r="AK48" s="665"/>
      <c r="AL48" s="665"/>
      <c r="AM48" s="665"/>
      <c r="AN48" s="665"/>
      <c r="AO48" s="665"/>
      <c r="AP48" s="666"/>
      <c r="AQ48" s="666"/>
      <c r="AR48" s="848">
        <f t="shared" si="6"/>
        <v>11072.053657754004</v>
      </c>
      <c r="AS48" s="847"/>
      <c r="AT48" s="847"/>
      <c r="AU48" s="671"/>
      <c r="AV48" s="671">
        <f>AR48+AJ48</f>
        <v>221441.07315508017</v>
      </c>
      <c r="AW48" s="665"/>
      <c r="AX48" s="665"/>
      <c r="AY48" s="666"/>
      <c r="AZ48" s="665"/>
    </row>
    <row r="49" spans="1:52" ht="29.25" customHeight="1" x14ac:dyDescent="0.25">
      <c r="B49" s="642"/>
      <c r="C49" s="908" t="s">
        <v>767</v>
      </c>
      <c r="D49" s="908" t="s">
        <v>822</v>
      </c>
      <c r="E49" s="639" t="s">
        <v>548</v>
      </c>
      <c r="F49" s="912" t="s">
        <v>769</v>
      </c>
      <c r="G49" s="639" t="s">
        <v>241</v>
      </c>
      <c r="H49" s="639" t="s">
        <v>766</v>
      </c>
      <c r="I49" s="639" t="s">
        <v>241</v>
      </c>
      <c r="J49" s="632" t="s">
        <v>241</v>
      </c>
      <c r="K49" s="639" t="s">
        <v>823</v>
      </c>
      <c r="L49" s="639" t="s">
        <v>824</v>
      </c>
      <c r="N49" s="913" t="s">
        <v>767</v>
      </c>
      <c r="O49" s="914" t="s">
        <v>768</v>
      </c>
      <c r="P49" s="658" t="s">
        <v>780</v>
      </c>
      <c r="Q49" s="658" t="s">
        <v>241</v>
      </c>
      <c r="R49" s="658" t="s">
        <v>766</v>
      </c>
      <c r="S49" s="658" t="s">
        <v>241</v>
      </c>
      <c r="T49" s="658" t="s">
        <v>779</v>
      </c>
      <c r="U49" s="658"/>
      <c r="V49" s="838"/>
      <c r="W49" s="834"/>
      <c r="X49" s="834"/>
      <c r="Y49" s="836"/>
      <c r="Z49" s="650"/>
      <c r="AA49" s="658" t="s">
        <v>240</v>
      </c>
      <c r="AB49" s="650" t="s">
        <v>241</v>
      </c>
      <c r="AC49" s="650"/>
      <c r="AD49" s="659"/>
      <c r="AE49" s="659"/>
      <c r="AF49" s="665"/>
      <c r="AG49" s="676"/>
      <c r="AH49" s="915" t="s">
        <v>548</v>
      </c>
      <c r="AI49" s="916" t="s">
        <v>767</v>
      </c>
      <c r="AJ49" s="916" t="s">
        <v>822</v>
      </c>
      <c r="AK49" s="675" t="s">
        <v>769</v>
      </c>
      <c r="AL49" s="675" t="s">
        <v>241</v>
      </c>
      <c r="AM49" s="675" t="s">
        <v>766</v>
      </c>
      <c r="AN49" s="665" t="s">
        <v>241</v>
      </c>
      <c r="AO49" s="675" t="s">
        <v>779</v>
      </c>
      <c r="AP49" s="964" t="s">
        <v>823</v>
      </c>
      <c r="AQ49" s="964" t="s">
        <v>824</v>
      </c>
      <c r="AR49" s="848"/>
      <c r="AS49" s="847"/>
      <c r="AT49" s="847"/>
      <c r="AU49" s="671"/>
      <c r="AV49" s="665"/>
      <c r="AW49" s="665"/>
      <c r="AX49" s="665"/>
      <c r="AY49" s="666"/>
      <c r="AZ49" s="665"/>
    </row>
    <row r="50" spans="1:52" x14ac:dyDescent="0.25">
      <c r="A50" t="s">
        <v>244</v>
      </c>
      <c r="B50" s="643">
        <f>'Nutrient Inputs'!D56</f>
        <v>0.77</v>
      </c>
      <c r="C50" s="637">
        <f>IF($D$56&gt;0,D44*'Nutrient Inputs'!D50/$E$56,0)</f>
        <v>140</v>
      </c>
      <c r="D50" s="637">
        <f>B44*'Nutrient Inputs'!D50*D60/1000</f>
        <v>37.190934065934059</v>
      </c>
      <c r="E50" s="642">
        <f>('Nutrient Inputs'!D57*'Nutrient Inputs'!$M$9*'Nutrient Inputs'!$E$27)/('Nutrient Inputs'!$M$9*'Nutrient Inputs'!$E$27)</f>
        <v>140</v>
      </c>
      <c r="F50" s="642">
        <f>MIN(E50,C50)</f>
        <v>140</v>
      </c>
      <c r="G50" s="648">
        <f>F50*B50</f>
        <v>107.8</v>
      </c>
      <c r="H50" s="642">
        <f>MIN(D50,E50)</f>
        <v>37.190934065934059</v>
      </c>
      <c r="I50" s="648">
        <f>H50*B50</f>
        <v>28.637019230769226</v>
      </c>
      <c r="J50" s="648">
        <f>IF($G$68&gt;$I$68,G50,I50)</f>
        <v>28.637019230769226</v>
      </c>
      <c r="K50" s="646">
        <f>MIN(B44*'Nutrient Inputs'!$D$50*D61/1000,E50)</f>
        <v>36.641499999999994</v>
      </c>
      <c r="L50" s="648">
        <f>K50*B50</f>
        <v>28.213954999999995</v>
      </c>
      <c r="M50" s="660"/>
      <c r="N50" s="656">
        <f>E50</f>
        <v>140</v>
      </c>
      <c r="O50" s="656">
        <f>O44*'Nutrient Inputs'!$D$51*N60/1000</f>
        <v>47.637149855308209</v>
      </c>
      <c r="P50" s="661">
        <f>IFERROR(MIN(N50,E50),0)</f>
        <v>140</v>
      </c>
      <c r="Q50" s="657">
        <f>P50*(B50+R45)</f>
        <v>107.8</v>
      </c>
      <c r="R50" s="661">
        <f>MIN(E50,O50)</f>
        <v>47.637149855308209</v>
      </c>
      <c r="S50" s="657">
        <f>R50*$B50</f>
        <v>36.680605388587324</v>
      </c>
      <c r="T50" s="656">
        <f>MIN(O44*'Nutrient Inputs'!$D$51*N61/1000,E50)</f>
        <v>47.384060677938933</v>
      </c>
      <c r="U50" s="657">
        <f>T50*B50</f>
        <v>36.485726722012977</v>
      </c>
      <c r="V50" s="838"/>
      <c r="W50" s="834"/>
      <c r="X50" s="834"/>
      <c r="Y50" s="836">
        <f>IF(Z56&gt;0,W44*'Nutrient Inputs'!D52*(1-'Nutrient Inputs'!E17)/Z56,0)</f>
        <v>35.06937245760777</v>
      </c>
      <c r="Z50" s="650"/>
      <c r="AA50" s="661">
        <f>MIN(Y50,E50)</f>
        <v>35.06937245760777</v>
      </c>
      <c r="AB50" s="657">
        <f>AA50*B50</f>
        <v>27.003416792357985</v>
      </c>
      <c r="AC50" s="659"/>
      <c r="AD50" s="650"/>
      <c r="AE50" s="650"/>
      <c r="AF50" s="677"/>
      <c r="AG50" s="665"/>
      <c r="AH50" s="673">
        <f>('Nutrient Inputs'!D58*'Nutrient Inputs'!$M$9*'Nutrient Inputs'!$E$27+Switchgrass_Budget!S31*Switchgrass_Key_Inputs!$L$22)/('Nutrient Inputs'!$M$9*'Nutrient Inputs'!$E$27+Switchgrass_Key_Inputs!$L$22)</f>
        <v>140</v>
      </c>
      <c r="AI50" s="678">
        <f>E50</f>
        <v>140</v>
      </c>
      <c r="AJ50" s="678">
        <f>AI44*'Nutrient Inputs'!$D$51*AJ60/1000</f>
        <v>47.637149855308209</v>
      </c>
      <c r="AK50" s="680">
        <f>IFERROR(MIN(AI50,AH50),0)</f>
        <v>140</v>
      </c>
      <c r="AL50" s="674">
        <f>AK50*(B50+R45)</f>
        <v>107.8</v>
      </c>
      <c r="AM50" s="673">
        <f>MIN(E50,AJ50)</f>
        <v>47.637149855308209</v>
      </c>
      <c r="AN50" s="674">
        <f>AM50*$B50</f>
        <v>36.680605388587324</v>
      </c>
      <c r="AO50" s="674">
        <f>IF($AL$68&gt;$AN$68,AL50,AN50)</f>
        <v>36.680605388587324</v>
      </c>
      <c r="AP50" s="965">
        <f>MIN(AI44*'Nutrient Inputs'!$D$51*AJ61/1000,E50)</f>
        <v>47.384060677938933</v>
      </c>
      <c r="AQ50" s="966">
        <f>AP50*B50</f>
        <v>36.485726722012977</v>
      </c>
      <c r="AR50" s="876">
        <f>Y50</f>
        <v>35.06937245760777</v>
      </c>
      <c r="AS50" s="876">
        <f>MIN(AR50,AH50)</f>
        <v>35.06937245760777</v>
      </c>
      <c r="AT50" s="877">
        <f>AS50*B50</f>
        <v>27.003416792357985</v>
      </c>
      <c r="AU50" s="671"/>
      <c r="AV50" s="665"/>
      <c r="AW50" s="665"/>
      <c r="AX50" s="665"/>
      <c r="AY50" s="666"/>
      <c r="AZ50" s="665"/>
    </row>
    <row r="51" spans="1:52" x14ac:dyDescent="0.25">
      <c r="A51" t="s">
        <v>246</v>
      </c>
      <c r="B51" s="643">
        <f>'Nutrient Inputs'!G56</f>
        <v>0.65</v>
      </c>
      <c r="C51" s="637">
        <f>IF($D$56&gt;0,D47*'Nutrient Inputs'!G50/$E$56,0)</f>
        <v>112.9307479224377</v>
      </c>
      <c r="D51" s="646">
        <f>B47*'Nutrient Inputs'!$G$50*$D$61/1000</f>
        <v>29.556799999999999</v>
      </c>
      <c r="E51" s="642">
        <f>('Nutrient Inputs'!G57*'Nutrient Inputs'!$M$9*'Nutrient Inputs'!$E$27)/('Nutrient Inputs'!$M$9*'Nutrient Inputs'!$E$27)</f>
        <v>30</v>
      </c>
      <c r="F51" s="642">
        <f t="shared" ref="F51:F52" si="7">MIN(E51,C51)</f>
        <v>30</v>
      </c>
      <c r="G51" s="648">
        <f t="shared" ref="G51:G52" si="8">F51*B51</f>
        <v>19.5</v>
      </c>
      <c r="H51" s="642">
        <f t="shared" ref="H51:H52" si="9">MIN(D51,E51)</f>
        <v>29.556799999999999</v>
      </c>
      <c r="I51" s="648">
        <f t="shared" ref="I51:I52" si="10">H51*B51</f>
        <v>19.211919999999999</v>
      </c>
      <c r="J51" s="648">
        <f t="shared" ref="J51:J52" si="11">IF($G$68&gt;$I$68,G51,I51)</f>
        <v>19.211919999999999</v>
      </c>
      <c r="K51" s="646">
        <f>MIN(B47*'Nutrient Inputs'!$G$50*D61/1000,E51)</f>
        <v>29.556799999999999</v>
      </c>
      <c r="L51" s="648">
        <f t="shared" ref="L51:L52" si="12">K51*B51</f>
        <v>19.211919999999999</v>
      </c>
      <c r="M51" s="660"/>
      <c r="N51" s="871">
        <f>IF(N56&gt;0,(N47)*'Nutrient Inputs'!G51/O56,0)</f>
        <v>88.166483779087685</v>
      </c>
      <c r="O51" s="656">
        <f>O47*'Nutrient Inputs'!$G$51*N60/1000</f>
        <v>30</v>
      </c>
      <c r="P51" s="661">
        <f t="shared" ref="P51:P52" si="13">IFERROR(MIN(N51,E51),0)</f>
        <v>30</v>
      </c>
      <c r="Q51" s="657">
        <f t="shared" ref="Q51:Q52" si="14">P51*(B51+R46)</f>
        <v>19.5</v>
      </c>
      <c r="R51" s="661">
        <f t="shared" ref="R51:R52" si="15">MIN(E51,O51)</f>
        <v>30</v>
      </c>
      <c r="S51" s="657">
        <f t="shared" ref="S51:S52" si="16">R51*$B51</f>
        <v>19.5</v>
      </c>
      <c r="T51" s="656">
        <f>MIN(O47*'Nutrient Inputs'!$G$51*N61/1000,E51)</f>
        <v>29.840614408205784</v>
      </c>
      <c r="U51" s="657">
        <f>T51*B51</f>
        <v>19.39639936533376</v>
      </c>
      <c r="V51" s="834"/>
      <c r="W51" s="834"/>
      <c r="X51" s="834"/>
      <c r="Y51" s="839">
        <f>IF(Z56&gt;0,W47*'Nutrient Inputs'!G52*(1-'Nutrient Inputs'!E17)/$Z$56,0)</f>
        <v>112.45252525252532</v>
      </c>
      <c r="Z51" s="650"/>
      <c r="AA51" s="661">
        <f>MIN(Y51,E51)</f>
        <v>30</v>
      </c>
      <c r="AB51" s="657">
        <f>AA51*B51</f>
        <v>19.5</v>
      </c>
      <c r="AC51" s="659"/>
      <c r="AD51" s="650"/>
      <c r="AE51" s="650"/>
      <c r="AF51" s="665"/>
      <c r="AG51" s="665"/>
      <c r="AH51" s="673">
        <f>('Nutrient Inputs'!G57*'Nutrient Inputs'!$M$9*'Nutrient Inputs'!$E$27+Switchgrass_Budget!S32*Switchgrass_Key_Inputs!$L$22)/('Nutrient Inputs'!$M$9*'Nutrient Inputs'!$E$27+Switchgrass_Key_Inputs!$L$22)</f>
        <v>30</v>
      </c>
      <c r="AI51" s="680">
        <f>IF($AJ$56&gt;0,(AJ47+AR47*'Nutrient Inputs'!E17)*'Nutrient Inputs'!G51/$AK$56,0)</f>
        <v>97.19558151550028</v>
      </c>
      <c r="AJ51" s="678">
        <f>AI47*'Nutrient Inputs'!$G$51*AJ60/1000</f>
        <v>30</v>
      </c>
      <c r="AK51" s="680">
        <f t="shared" ref="AK51:AK52" si="17">IFERROR(MIN(AI51,AH51),0)</f>
        <v>30</v>
      </c>
      <c r="AL51" s="674">
        <f>AK51*(B51+R46)</f>
        <v>19.5</v>
      </c>
      <c r="AM51" s="673">
        <f t="shared" ref="AM51:AM52" si="18">MIN(E51,AJ51)</f>
        <v>30</v>
      </c>
      <c r="AN51" s="674">
        <f t="shared" ref="AN51:AN52" si="19">AM51*$B51</f>
        <v>19.5</v>
      </c>
      <c r="AO51" s="674">
        <f>IF($AL$68&gt;$AN$68,AL51,AN51)</f>
        <v>19.5</v>
      </c>
      <c r="AP51" s="673">
        <f>MIN(AI47*'Nutrient Inputs'!$G$51*AJ61/1000,E51)</f>
        <v>29.840614408205784</v>
      </c>
      <c r="AQ51" s="966">
        <f>AP51*B51</f>
        <v>19.39639936533376</v>
      </c>
      <c r="AR51" s="878">
        <f>IF(AV57&gt;0,AR47*'Nutrient Inputs'!G52*(1-'Nutrient Inputs'!E17)/$AV$57,0)</f>
        <v>56.22626262626266</v>
      </c>
      <c r="AS51" s="876">
        <f t="shared" ref="AS51:AS52" si="20">MIN(AR51,AH51)</f>
        <v>30</v>
      </c>
      <c r="AT51" s="877">
        <f>AS51*B51</f>
        <v>19.5</v>
      </c>
      <c r="AU51" s="671"/>
      <c r="AV51" s="665"/>
      <c r="AW51" s="665"/>
      <c r="AX51" s="665"/>
      <c r="AY51" s="666"/>
      <c r="AZ51" s="665"/>
    </row>
    <row r="52" spans="1:52" x14ac:dyDescent="0.25">
      <c r="A52" t="s">
        <v>247</v>
      </c>
      <c r="B52" s="643">
        <f>'Nutrient Inputs'!H56</f>
        <v>0.54</v>
      </c>
      <c r="C52" s="637">
        <f>IF($D$56&gt;0,D48*'Nutrient Inputs'!H50/$E$56,0)</f>
        <v>306.7036011080333</v>
      </c>
      <c r="D52" s="646">
        <f>B48*'Nutrient Inputs'!$G$50*$D$61/1000</f>
        <v>64.217600000000004</v>
      </c>
      <c r="E52" s="642">
        <f>('Nutrient Inputs'!H57*'Nutrient Inputs'!$M$9*'Nutrient Inputs'!$E$27)/('Nutrient Inputs'!$M$9*'Nutrient Inputs'!$E$27)</f>
        <v>150</v>
      </c>
      <c r="F52" s="642">
        <f t="shared" si="7"/>
        <v>150</v>
      </c>
      <c r="G52" s="648">
        <f t="shared" si="8"/>
        <v>81</v>
      </c>
      <c r="H52" s="642">
        <f t="shared" si="9"/>
        <v>64.217600000000004</v>
      </c>
      <c r="I52" s="648">
        <f t="shared" si="10"/>
        <v>34.677504000000006</v>
      </c>
      <c r="J52" s="648">
        <f t="shared" si="11"/>
        <v>34.677504000000006</v>
      </c>
      <c r="K52" s="646">
        <f>MIN(B48*'Nutrient Inputs'!$G$50*D61/1000,E52)</f>
        <v>64.217600000000004</v>
      </c>
      <c r="L52" s="648">
        <f t="shared" si="12"/>
        <v>34.677504000000006</v>
      </c>
      <c r="M52" s="660"/>
      <c r="N52" s="871">
        <f>IF(N56&gt;0,(N48+W48*'Nutrient Inputs'!E17)*'Nutrient Inputs'!H51/O56,0)</f>
        <v>281.2786149578713</v>
      </c>
      <c r="O52" s="656">
        <f>O48*'Nutrient Inputs'!$H$51*N60/1000</f>
        <v>93.255281723440064</v>
      </c>
      <c r="P52" s="661">
        <f t="shared" si="13"/>
        <v>150</v>
      </c>
      <c r="Q52" s="657">
        <f t="shared" si="14"/>
        <v>81</v>
      </c>
      <c r="R52" s="661">
        <f t="shared" si="15"/>
        <v>93.255281723440064</v>
      </c>
      <c r="S52" s="657">
        <f t="shared" si="16"/>
        <v>50.357852130657641</v>
      </c>
      <c r="T52" s="656">
        <f>MIN(O48*'Nutrient Inputs'!H51*N61/1000,E52)</f>
        <v>92.759830114592489</v>
      </c>
      <c r="U52" s="657">
        <f>T52*B52</f>
        <v>50.090308261879947</v>
      </c>
      <c r="V52" s="834"/>
      <c r="W52" s="834"/>
      <c r="X52" s="834"/>
      <c r="Y52" s="839">
        <f>IF(Z56&gt;0,W48*'Nutrient Inputs'!H52*(1-'Nutrient Inputs'!E17)/$Z$56,0)</f>
        <v>89.824946295534488</v>
      </c>
      <c r="Z52" s="650"/>
      <c r="AA52" s="661">
        <f>MIN(Y52,E52)</f>
        <v>89.824946295534488</v>
      </c>
      <c r="AB52" s="657">
        <f>AA52*B52</f>
        <v>48.505470999588624</v>
      </c>
      <c r="AC52" s="659"/>
      <c r="AD52" s="650"/>
      <c r="AE52" s="650"/>
      <c r="AF52" s="665"/>
      <c r="AG52" s="665"/>
      <c r="AH52" s="673">
        <f>('Nutrient Inputs'!H57*'Nutrient Inputs'!$M$9*'Nutrient Inputs'!$E$27+Switchgrass_Budget!S33*Switchgrass_Key_Inputs!$L$22)/('Nutrient Inputs'!$M$9*'Nutrient Inputs'!$E$27+Switchgrass_Key_Inputs!$L$22)</f>
        <v>150</v>
      </c>
      <c r="AI52" s="680">
        <f>IF($AJ$56&gt;0,(AJ48+AR48*'Nutrient Inputs'!E17)*'Nutrient Inputs'!H51/$AK$56,0)</f>
        <v>281.2786149578713</v>
      </c>
      <c r="AJ52" s="678">
        <f>AI48*'Nutrient Inputs'!$H$51*AJ60/1000</f>
        <v>93.255281723440064</v>
      </c>
      <c r="AK52" s="680">
        <f t="shared" si="17"/>
        <v>150</v>
      </c>
      <c r="AL52" s="674">
        <f>AK52*(B52+R47)</f>
        <v>81</v>
      </c>
      <c r="AM52" s="673">
        <f t="shared" si="18"/>
        <v>93.255281723440064</v>
      </c>
      <c r="AN52" s="674">
        <f t="shared" si="19"/>
        <v>50.357852130657641</v>
      </c>
      <c r="AO52" s="674">
        <f>IF($AL$68&gt;$AN$68,AL52,AN52)</f>
        <v>50.357852130657641</v>
      </c>
      <c r="AP52" s="673">
        <f>MIN(AI48*'Nutrient Inputs'!$H$51*AJ61/1000,E52)</f>
        <v>92.759830114592489</v>
      </c>
      <c r="AQ52" s="966">
        <f>AP52*B52</f>
        <v>50.090308261879947</v>
      </c>
      <c r="AR52" s="878">
        <f>IF(AND(Z56&gt;0,AV57&gt;0),AR48*'Nutrient Inputs'!H52*(1-'Nutrient Inputs'!E17)/$AV$57,0)</f>
        <v>44.912473147767244</v>
      </c>
      <c r="AS52" s="876">
        <f t="shared" si="20"/>
        <v>44.912473147767244</v>
      </c>
      <c r="AT52" s="877">
        <f>AS52*B52</f>
        <v>24.252735499794312</v>
      </c>
      <c r="AU52" s="671"/>
      <c r="AV52" s="665"/>
      <c r="AW52" s="665"/>
      <c r="AX52" s="665"/>
      <c r="AY52" s="666"/>
      <c r="AZ52" s="665"/>
    </row>
    <row r="53" spans="1:52" x14ac:dyDescent="0.25">
      <c r="A53" t="s">
        <v>248</v>
      </c>
      <c r="B53" s="645"/>
      <c r="C53" s="643"/>
      <c r="D53" s="632"/>
      <c r="E53" s="632"/>
      <c r="F53" s="642"/>
      <c r="G53" s="648">
        <f>SUM(G50:G52)</f>
        <v>208.3</v>
      </c>
      <c r="H53" s="642"/>
      <c r="I53" s="648">
        <f>SUM(I50:I52)</f>
        <v>82.526443230769232</v>
      </c>
      <c r="J53" s="648">
        <f>SUM(J50:J52)</f>
        <v>82.526443230769232</v>
      </c>
      <c r="K53" s="648"/>
      <c r="L53" s="648">
        <f>SUM(L50:L52)</f>
        <v>82.10337899999999</v>
      </c>
      <c r="M53" s="660"/>
      <c r="N53" s="650"/>
      <c r="O53" s="650"/>
      <c r="P53" s="661"/>
      <c r="Q53" s="657">
        <f>SUM(Q50:Q52)</f>
        <v>208.3</v>
      </c>
      <c r="R53" s="661"/>
      <c r="S53" s="657">
        <f>SUM(S50:S52)</f>
        <v>106.53845751924496</v>
      </c>
      <c r="T53" s="656"/>
      <c r="U53" s="657">
        <f>SUM(U50:U52)</f>
        <v>105.97243434922669</v>
      </c>
      <c r="V53" s="834"/>
      <c r="W53" s="834"/>
      <c r="X53" s="834"/>
      <c r="Y53" s="840"/>
      <c r="Z53" s="650"/>
      <c r="AA53" s="661"/>
      <c r="AB53" s="657">
        <f>SUM(AB50:AB52)</f>
        <v>95.008887791946606</v>
      </c>
      <c r="AC53" s="650"/>
      <c r="AD53" s="650"/>
      <c r="AE53" s="650"/>
      <c r="AF53" s="665"/>
      <c r="AG53" s="665"/>
      <c r="AH53" s="665"/>
      <c r="AI53" s="680"/>
      <c r="AJ53" s="680"/>
      <c r="AK53" s="678"/>
      <c r="AL53" s="674">
        <f>SUM(AL50:AL52)</f>
        <v>208.3</v>
      </c>
      <c r="AM53" s="674"/>
      <c r="AN53" s="674">
        <f>SUM(AN50:AN52)</f>
        <v>106.53845751924496</v>
      </c>
      <c r="AO53" s="674">
        <f>SUM(AO50:AO52)</f>
        <v>106.53845751924496</v>
      </c>
      <c r="AP53" s="665"/>
      <c r="AQ53" s="674">
        <f>SUM(AQ50:AQ52)</f>
        <v>105.97243434922669</v>
      </c>
      <c r="AR53" s="878"/>
      <c r="AS53" s="876"/>
      <c r="AT53" s="877">
        <f>SUM(AT50:AT52)</f>
        <v>70.756152292152294</v>
      </c>
      <c r="AU53" s="671"/>
      <c r="AV53" s="665"/>
      <c r="AW53" s="665"/>
      <c r="AX53" s="665"/>
      <c r="AY53" s="666"/>
      <c r="AZ53" s="665"/>
    </row>
    <row r="54" spans="1:52" x14ac:dyDescent="0.25">
      <c r="B54" s="645"/>
      <c r="C54" s="643"/>
      <c r="D54" s="724">
        <f>('Nutrient Inputs'!E50*'Nutrient Inputs'!E41+'Nutrient Inputs'!F50*'Nutrient Inputs'!F41)/('Nutrient Inputs'!E41+'Nutrient Inputs'!F41)</f>
        <v>0.36955250073120793</v>
      </c>
      <c r="E54" s="632"/>
      <c r="F54" s="642"/>
      <c r="G54" s="648"/>
      <c r="H54" s="642"/>
      <c r="I54" s="648"/>
      <c r="J54" s="644"/>
      <c r="K54" s="644"/>
      <c r="L54" s="644"/>
      <c r="M54" s="660"/>
      <c r="N54" s="650"/>
      <c r="O54" s="650"/>
      <c r="P54" s="650"/>
      <c r="Q54" s="650"/>
      <c r="R54" s="650"/>
      <c r="S54" s="650"/>
      <c r="T54" s="650"/>
      <c r="U54" s="650"/>
      <c r="V54" s="834"/>
      <c r="W54" s="834"/>
      <c r="X54" s="834"/>
      <c r="Y54" s="840"/>
      <c r="Z54" s="661"/>
      <c r="AA54" s="660"/>
      <c r="AB54" s="659"/>
      <c r="AC54" s="650"/>
      <c r="AD54" s="650"/>
      <c r="AE54" s="650"/>
      <c r="AF54" s="665"/>
      <c r="AG54" s="665"/>
      <c r="AH54" s="665"/>
      <c r="AI54" s="680"/>
      <c r="AJ54" s="680"/>
      <c r="AK54" s="678"/>
      <c r="AL54" s="679"/>
      <c r="AM54" s="679"/>
      <c r="AN54" s="679"/>
      <c r="AO54" s="679"/>
      <c r="AP54" s="665"/>
      <c r="AQ54" s="665"/>
      <c r="AR54" s="847" t="s">
        <v>694</v>
      </c>
      <c r="AS54" s="847"/>
      <c r="AT54" s="848"/>
      <c r="AU54" s="671"/>
      <c r="AV54" s="665"/>
      <c r="AW54" s="665"/>
      <c r="AX54" s="665"/>
      <c r="AY54" s="666"/>
      <c r="AZ54" s="665"/>
    </row>
    <row r="55" spans="1:52" x14ac:dyDescent="0.25">
      <c r="B55" s="645"/>
      <c r="C55" s="643"/>
      <c r="D55" s="724"/>
      <c r="E55" s="632"/>
      <c r="F55" s="642"/>
      <c r="G55" s="648"/>
      <c r="H55" s="642"/>
      <c r="I55" s="648"/>
      <c r="J55" s="644"/>
      <c r="K55" s="644"/>
      <c r="L55" s="644"/>
      <c r="M55" s="660"/>
      <c r="N55" s="650"/>
      <c r="O55" s="650"/>
      <c r="P55" s="650"/>
      <c r="Q55" s="650"/>
      <c r="R55" s="650"/>
      <c r="S55" s="650"/>
      <c r="T55" s="650"/>
      <c r="U55" s="650"/>
      <c r="V55" s="834"/>
      <c r="W55" s="841" t="s">
        <v>625</v>
      </c>
      <c r="X55" s="836">
        <f>E50/('Nutrient Inputs'!D49*'Nutrient Inputs'!D52)</f>
        <v>79.841748049089531</v>
      </c>
      <c r="Y55" s="834"/>
      <c r="Z55" s="662">
        <f>N41/N56</f>
        <v>767.58429132104652</v>
      </c>
      <c r="AA55" s="661" t="s">
        <v>752</v>
      </c>
      <c r="AB55" s="660"/>
      <c r="AC55" s="650"/>
      <c r="AD55" s="650"/>
      <c r="AE55" s="650"/>
      <c r="AF55" s="665"/>
      <c r="AG55" s="665"/>
      <c r="AH55" s="665">
        <f>('Nutrient Inputs'!G58*'Nutrient Inputs'!$M$9*'Nutrient Inputs'!$E$27)/('Nutrient Inputs'!$M$9*'Nutrient Inputs'!$E$27)</f>
        <v>88.166483779087685</v>
      </c>
      <c r="AI55" s="680"/>
      <c r="AJ55" s="680"/>
      <c r="AK55" s="678"/>
      <c r="AL55" s="679"/>
      <c r="AM55" s="679"/>
      <c r="AN55" s="679"/>
      <c r="AO55" s="679"/>
      <c r="AP55" s="665"/>
      <c r="AQ55" s="665"/>
      <c r="AR55" s="847"/>
      <c r="AS55" s="847"/>
      <c r="AT55" s="848"/>
      <c r="AU55" s="671"/>
      <c r="AV55" s="665"/>
      <c r="AW55" s="665"/>
      <c r="AX55" s="665"/>
      <c r="AY55" s="666"/>
      <c r="AZ55" s="665"/>
    </row>
    <row r="56" spans="1:52" x14ac:dyDescent="0.25">
      <c r="A56" s="632" t="s">
        <v>706</v>
      </c>
      <c r="B56" s="645"/>
      <c r="C56" s="643"/>
      <c r="D56" s="827">
        <f>E50*1000/(('Nutrient Inputs'!E50*'Nutrient Inputs'!E41+'Nutrient Inputs'!F50*'Nutrient Inputs'!F41))</f>
        <v>11080.332409972301</v>
      </c>
      <c r="E56" s="637">
        <f>$B$41/D56</f>
        <v>722.00349899732601</v>
      </c>
      <c r="F56" s="642" t="s">
        <v>436</v>
      </c>
      <c r="G56" s="648"/>
      <c r="H56" s="642"/>
      <c r="I56" s="648"/>
      <c r="J56" s="644"/>
      <c r="K56" s="644"/>
      <c r="L56" s="644"/>
      <c r="M56" s="660"/>
      <c r="N56" s="654">
        <f>N50*1000/(('Nutrient Inputs'!E51*'Nutrient Inputs'!E42+'Nutrient Inputs'!F51*'Nutrient Inputs'!F42))</f>
        <v>9159.1981309879957</v>
      </c>
      <c r="O56" s="654">
        <f>$N$41/N56</f>
        <v>767.58429132104652</v>
      </c>
      <c r="P56" s="650" t="s">
        <v>436</v>
      </c>
      <c r="Q56" s="650"/>
      <c r="R56" s="650"/>
      <c r="S56" s="650"/>
      <c r="T56" s="650"/>
      <c r="U56" s="650"/>
      <c r="V56" s="834"/>
      <c r="W56" s="841" t="s">
        <v>711</v>
      </c>
      <c r="X56" s="842">
        <f>E51/('Nutrient Inputs'!G49*'Nutrient Inputs'!G52)</f>
        <v>5.3355849382006291</v>
      </c>
      <c r="Y56" s="840"/>
      <c r="Z56" s="662">
        <f>X40*(1-'Nutrient Inputs'!E17)/X61</f>
        <v>61.631284595070419</v>
      </c>
      <c r="AA56" s="661" t="s">
        <v>698</v>
      </c>
      <c r="AB56" s="660"/>
      <c r="AC56" s="650"/>
      <c r="AD56" s="650"/>
      <c r="AE56" s="650"/>
      <c r="AF56" s="665"/>
      <c r="AG56" s="665"/>
      <c r="AH56" s="665"/>
      <c r="AI56" s="680"/>
      <c r="AJ56" s="829">
        <f>E50*1000/(('Nutrient Inputs'!E51*'Nutrient Inputs'!E42+'Nutrient Inputs'!F51*'Nutrient Inputs'!F42))*N44/AJ44</f>
        <v>9159.1981309879957</v>
      </c>
      <c r="AK56" s="678">
        <f>$AF$41/AJ56</f>
        <v>767.58429132104652</v>
      </c>
      <c r="AL56" s="679" t="s">
        <v>436</v>
      </c>
      <c r="AM56" s="679"/>
      <c r="AN56" s="679"/>
      <c r="AO56" s="679"/>
      <c r="AP56" s="665"/>
      <c r="AQ56" s="665"/>
      <c r="AR56" s="849" t="s">
        <v>625</v>
      </c>
      <c r="AS56" s="847"/>
      <c r="AT56" s="850">
        <f>E50/('Nutrient Inputs'!D49*'Nutrient Inputs'!D52)</f>
        <v>79.841748049089531</v>
      </c>
      <c r="AU56" s="671"/>
      <c r="AV56" s="680">
        <f>AF41/AJ56</f>
        <v>767.58429132104652</v>
      </c>
      <c r="AW56" s="670" t="str">
        <f>AA55</f>
        <v>Acres required to apply digestate liquid, N-based</v>
      </c>
      <c r="AX56" s="679"/>
      <c r="AY56" s="666"/>
      <c r="AZ56" s="665"/>
    </row>
    <row r="57" spans="1:52" x14ac:dyDescent="0.25">
      <c r="A57" s="632" t="s">
        <v>705</v>
      </c>
      <c r="B57" s="645"/>
      <c r="C57" s="643"/>
      <c r="D57" s="827">
        <f>E51*1000/(('Nutrient Inputs'!G50*'Nutrient Inputs'!G41))</f>
        <v>2943.4850863422294</v>
      </c>
      <c r="E57" s="637">
        <f>$B$41/D57</f>
        <v>2717.879838146167</v>
      </c>
      <c r="F57" s="642" t="s">
        <v>436</v>
      </c>
      <c r="G57" s="648"/>
      <c r="H57" s="642"/>
      <c r="I57" s="648"/>
      <c r="J57" s="644"/>
      <c r="K57" s="644"/>
      <c r="L57" s="644"/>
      <c r="M57" s="660"/>
      <c r="N57" s="654">
        <f>E51*1000/(('Nutrient Inputs'!G51*'Nutrient Inputs'!G42))</f>
        <v>3116.5578137166708</v>
      </c>
      <c r="O57" s="654">
        <f>$N$41/N57</f>
        <v>2255.8402656613189</v>
      </c>
      <c r="P57" s="650" t="s">
        <v>436</v>
      </c>
      <c r="Q57" s="650"/>
      <c r="R57" s="650"/>
      <c r="S57" s="650"/>
      <c r="T57" s="650"/>
      <c r="U57" s="650"/>
      <c r="V57" s="834"/>
      <c r="W57" s="834"/>
      <c r="X57" s="834"/>
      <c r="Y57" s="834"/>
      <c r="Z57" s="662">
        <f>Z55+Z56</f>
        <v>829.2155759161169</v>
      </c>
      <c r="AA57" s="661" t="s">
        <v>697</v>
      </c>
      <c r="AB57" s="660"/>
      <c r="AC57" s="650"/>
      <c r="AD57" s="650"/>
      <c r="AE57" s="650"/>
      <c r="AF57" s="665"/>
      <c r="AG57" s="665"/>
      <c r="AH57" s="665"/>
      <c r="AI57" s="680"/>
      <c r="AJ57" s="829">
        <f>E51*1000/(('Nutrient Inputs'!G51*'Nutrient Inputs'!G42))*N47/AJ47</f>
        <v>3116.5578137166708</v>
      </c>
      <c r="AK57" s="678">
        <f t="shared" ref="AK57" si="21">$AF$41/AJ57</f>
        <v>2255.8402656613189</v>
      </c>
      <c r="AL57" s="679" t="s">
        <v>436</v>
      </c>
      <c r="AM57" s="679"/>
      <c r="AN57" s="679"/>
      <c r="AO57" s="679"/>
      <c r="AP57" s="665"/>
      <c r="AQ57" s="665"/>
      <c r="AR57" s="847" t="s">
        <v>711</v>
      </c>
      <c r="AS57" s="847"/>
      <c r="AT57" s="850">
        <f>E51/('Nutrient Inputs'!G49*'Nutrient Inputs'!G52)</f>
        <v>5.3355849382006291</v>
      </c>
      <c r="AU57" s="671"/>
      <c r="AV57" s="680">
        <f>IF('Key inputs &amp; Outputs'!F9="Yes",AR40/AT61,0)</f>
        <v>123.26256919014084</v>
      </c>
      <c r="AW57" s="670" t="str">
        <f>AA56</f>
        <v>Acres required to apply bedding</v>
      </c>
      <c r="AX57" s="679"/>
      <c r="AY57" s="666"/>
      <c r="AZ57" s="665"/>
    </row>
    <row r="58" spans="1:52" x14ac:dyDescent="0.25">
      <c r="A58" s="632" t="s">
        <v>707</v>
      </c>
      <c r="B58" s="645"/>
      <c r="C58" s="643"/>
      <c r="D58" s="827">
        <f>B41/E58</f>
        <v>2666.6795900178249</v>
      </c>
      <c r="E58" s="637">
        <f>'Nutrient Inputs'!M9*'Nutrient Inputs'!E27</f>
        <v>3000</v>
      </c>
      <c r="F58" s="642" t="s">
        <v>436</v>
      </c>
      <c r="G58" s="648"/>
      <c r="H58" s="642"/>
      <c r="I58" s="648"/>
      <c r="J58" s="644"/>
      <c r="K58" s="644"/>
      <c r="L58" s="644"/>
      <c r="M58" s="660"/>
      <c r="N58" s="654">
        <f>N41/O58</f>
        <v>2343.485535481158</v>
      </c>
      <c r="O58" s="654">
        <f>E58</f>
        <v>3000</v>
      </c>
      <c r="P58" s="650" t="s">
        <v>436</v>
      </c>
      <c r="Q58" s="650"/>
      <c r="R58" s="650"/>
      <c r="S58" s="650"/>
      <c r="T58" s="650"/>
      <c r="U58" s="650"/>
      <c r="V58" s="834"/>
      <c r="W58" s="834"/>
      <c r="X58" s="834"/>
      <c r="Y58" s="834"/>
      <c r="Z58" s="662">
        <f>'Key inputs &amp; Outputs'!$F$13*'Nutrient Inputs'!$M$9</f>
        <v>3000</v>
      </c>
      <c r="AA58" s="661" t="s">
        <v>665</v>
      </c>
      <c r="AB58" s="660"/>
      <c r="AC58" s="650"/>
      <c r="AD58" s="650"/>
      <c r="AE58" s="650"/>
      <c r="AF58" s="665"/>
      <c r="AG58" s="665"/>
      <c r="AH58" s="665"/>
      <c r="AI58" s="680"/>
      <c r="AJ58" s="829">
        <f>AF41/AK58</f>
        <v>2082.0264383888816</v>
      </c>
      <c r="AK58" s="678">
        <f>E58+'Key inputs &amp; Outputs'!F16-AV57</f>
        <v>3376.7374308098592</v>
      </c>
      <c r="AL58" s="679" t="s">
        <v>436</v>
      </c>
      <c r="AM58" s="679"/>
      <c r="AN58" s="679"/>
      <c r="AO58" s="679"/>
      <c r="AP58" s="665"/>
      <c r="AQ58" s="665"/>
      <c r="AR58" s="847"/>
      <c r="AS58" s="847"/>
      <c r="AT58" s="847"/>
      <c r="AU58" s="665"/>
      <c r="AV58" s="680">
        <f>AV56+AV57</f>
        <v>890.8468605111874</v>
      </c>
      <c r="AW58" s="670" t="str">
        <f>AA57</f>
        <v>Total acres required</v>
      </c>
      <c r="AX58" s="679"/>
      <c r="AY58" s="666"/>
      <c r="AZ58" s="665"/>
    </row>
    <row r="59" spans="1:52" x14ac:dyDescent="0.25">
      <c r="A59" s="632" t="s">
        <v>773</v>
      </c>
      <c r="B59" s="645"/>
      <c r="C59" s="643"/>
      <c r="D59" s="827">
        <f>MIN(D56:D57)</f>
        <v>2943.4850863422294</v>
      </c>
      <c r="E59" s="637">
        <f>B41/D59</f>
        <v>2717.879838146167</v>
      </c>
      <c r="F59" s="642" t="s">
        <v>436</v>
      </c>
      <c r="G59" s="648"/>
      <c r="H59" s="642"/>
      <c r="I59" s="648"/>
      <c r="J59" s="644"/>
      <c r="K59" s="644"/>
      <c r="L59" s="644"/>
      <c r="M59" s="660"/>
      <c r="N59" s="654">
        <f>MIN(N56:N57)</f>
        <v>3116.5578137166708</v>
      </c>
      <c r="O59" s="654">
        <f>N41/N59</f>
        <v>2255.8402656613189</v>
      </c>
      <c r="P59" s="650" t="s">
        <v>436</v>
      </c>
      <c r="Q59" s="650"/>
      <c r="R59" s="650"/>
      <c r="S59" s="650"/>
      <c r="T59" s="661"/>
      <c r="U59" s="661"/>
      <c r="V59" s="834"/>
      <c r="W59" s="834"/>
      <c r="X59" s="834"/>
      <c r="Y59" s="834"/>
      <c r="Z59" s="662"/>
      <c r="AA59" s="661"/>
      <c r="AB59" s="660"/>
      <c r="AC59" s="650"/>
      <c r="AD59" s="650"/>
      <c r="AE59" s="650"/>
      <c r="AF59" s="665"/>
      <c r="AG59" s="665"/>
      <c r="AH59" s="665"/>
      <c r="AI59" s="680"/>
      <c r="AJ59" s="829">
        <f>MIN(AJ56:AJ57)</f>
        <v>3116.5578137166708</v>
      </c>
      <c r="AK59" s="678">
        <f>AF41/AJ59</f>
        <v>2255.8402656613189</v>
      </c>
      <c r="AL59" s="679" t="s">
        <v>436</v>
      </c>
      <c r="AM59" s="679"/>
      <c r="AN59" s="679"/>
      <c r="AO59" s="679"/>
      <c r="AP59" s="665"/>
      <c r="AQ59" s="665"/>
      <c r="AR59" s="847"/>
      <c r="AS59" s="847"/>
      <c r="AT59" s="847"/>
      <c r="AU59" s="665"/>
      <c r="AV59" s="680"/>
      <c r="AW59" s="670"/>
      <c r="AX59" s="679"/>
      <c r="AY59" s="666"/>
      <c r="AZ59" s="665"/>
    </row>
    <row r="60" spans="1:52" x14ac:dyDescent="0.25">
      <c r="A60" s="632" t="s">
        <v>774</v>
      </c>
      <c r="B60" s="645"/>
      <c r="C60" s="643"/>
      <c r="D60" s="827">
        <f>IF(D56&lt;D58,D56,IF(D58&gt;D59,D58,D59))</f>
        <v>2943.4850863422294</v>
      </c>
      <c r="E60" s="637">
        <f>$B$41/D60</f>
        <v>2717.879838146167</v>
      </c>
      <c r="F60" s="642" t="s">
        <v>436</v>
      </c>
      <c r="G60" s="648"/>
      <c r="H60" s="642"/>
      <c r="I60" s="648"/>
      <c r="J60" s="644"/>
      <c r="K60" s="644"/>
      <c r="L60" s="644"/>
      <c r="M60" s="660"/>
      <c r="N60" s="654">
        <f>IF(N56&lt;N58,N56,IF(N58&gt;N59,N58,N59))</f>
        <v>3116.5578137166708</v>
      </c>
      <c r="O60" s="654">
        <f>$N$41/N60</f>
        <v>2255.8402656613189</v>
      </c>
      <c r="P60" s="650" t="s">
        <v>436</v>
      </c>
      <c r="Q60" s="650"/>
      <c r="R60" s="650"/>
      <c r="S60" s="650"/>
      <c r="T60" s="650"/>
      <c r="U60" s="650"/>
      <c r="V60" s="834"/>
      <c r="W60" s="834"/>
      <c r="X60" s="834"/>
      <c r="Y60" s="834"/>
      <c r="Z60" s="662"/>
      <c r="AA60" s="661"/>
      <c r="AB60" s="660"/>
      <c r="AC60" s="650"/>
      <c r="AD60" s="650"/>
      <c r="AE60" s="650"/>
      <c r="AF60" s="665"/>
      <c r="AG60" s="665"/>
      <c r="AH60" s="665"/>
      <c r="AI60" s="680"/>
      <c r="AJ60" s="829">
        <f>IF(AJ56&lt;AJ58,AJ56,IF(AJ58&gt;AJ59,AJ58,AJ59))</f>
        <v>3116.5578137166708</v>
      </c>
      <c r="AK60" s="678">
        <f>$AF$41/AJ61</f>
        <v>2267.8892278849917</v>
      </c>
      <c r="AL60" s="679" t="s">
        <v>436</v>
      </c>
      <c r="AM60" s="679"/>
      <c r="AN60" s="679"/>
      <c r="AO60" s="679"/>
      <c r="AP60" s="665"/>
      <c r="AQ60" s="665"/>
      <c r="AR60" s="847"/>
      <c r="AS60" s="847"/>
      <c r="AT60" s="847"/>
      <c r="AU60" s="665"/>
      <c r="AV60" s="680"/>
      <c r="AW60" s="670"/>
      <c r="AX60" s="679"/>
      <c r="AY60" s="666"/>
      <c r="AZ60" s="665"/>
    </row>
    <row r="61" spans="1:52" x14ac:dyDescent="0.25">
      <c r="A61" s="632" t="s">
        <v>775</v>
      </c>
      <c r="B61" s="645"/>
      <c r="C61" s="632"/>
      <c r="D61" s="828">
        <f>'Nutrient Inputs'!D67</f>
        <v>2900</v>
      </c>
      <c r="E61" s="637">
        <f>$B$41/D61</f>
        <v>2758.6340586391293</v>
      </c>
      <c r="F61" s="642" t="s">
        <v>436</v>
      </c>
      <c r="G61" s="648"/>
      <c r="H61" s="642"/>
      <c r="I61" s="648"/>
      <c r="J61" s="632"/>
      <c r="K61" s="632"/>
      <c r="L61" s="632"/>
      <c r="N61" s="828">
        <f>'Nutrient Inputs'!E67</f>
        <v>3100</v>
      </c>
      <c r="O61" s="654">
        <f>$N$41/N61</f>
        <v>2267.8892278849917</v>
      </c>
      <c r="P61" s="650" t="s">
        <v>436</v>
      </c>
      <c r="Q61" s="650"/>
      <c r="R61" s="650"/>
      <c r="S61" s="650"/>
      <c r="T61" s="659"/>
      <c r="U61" s="659"/>
      <c r="V61" s="838"/>
      <c r="W61" s="843" t="s">
        <v>714</v>
      </c>
      <c r="X61" s="828">
        <v>20</v>
      </c>
      <c r="Y61" s="834"/>
      <c r="Z61" s="662">
        <f>X40*(1-'Nutrient Inputs'!E17)/X61</f>
        <v>61.631284595070419</v>
      </c>
      <c r="AA61" s="661" t="s">
        <v>413</v>
      </c>
      <c r="AB61" s="660"/>
      <c r="AC61" s="650"/>
      <c r="AD61" s="650"/>
      <c r="AE61" s="650"/>
      <c r="AF61" s="665"/>
      <c r="AG61" s="665"/>
      <c r="AH61" s="665"/>
      <c r="AI61" s="680"/>
      <c r="AJ61" s="828">
        <f>'Nutrient Inputs'!E67</f>
        <v>3100</v>
      </c>
      <c r="AK61" s="678">
        <f t="shared" ref="AK61" si="22">$AF$41/AJ61</f>
        <v>2267.8892278849917</v>
      </c>
      <c r="AL61" s="679" t="s">
        <v>436</v>
      </c>
      <c r="AM61" s="679"/>
      <c r="AN61" s="679"/>
      <c r="AO61" s="679"/>
      <c r="AP61" s="666"/>
      <c r="AQ61" s="666"/>
      <c r="AR61" s="851" t="s">
        <v>714</v>
      </c>
      <c r="AS61" s="847"/>
      <c r="AT61" s="828">
        <v>20</v>
      </c>
      <c r="AU61" s="680"/>
      <c r="AV61" s="680">
        <f>'Key inputs &amp; Outputs'!$F$13*'Nutrient Inputs'!$M$9</f>
        <v>3000</v>
      </c>
      <c r="AW61" s="678" t="str">
        <f>AA58</f>
        <v>Acres available/year (acres/crop x crops/year)</v>
      </c>
      <c r="AX61" s="679"/>
      <c r="AY61" s="666"/>
      <c r="AZ61" s="665"/>
    </row>
    <row r="62" spans="1:52" x14ac:dyDescent="0.25">
      <c r="A62" s="650" t="s">
        <v>250</v>
      </c>
      <c r="B62" s="910" t="s">
        <v>777</v>
      </c>
      <c r="C62" s="632" t="s">
        <v>721</v>
      </c>
      <c r="D62" s="636"/>
      <c r="E62" s="632"/>
      <c r="F62" s="632"/>
      <c r="G62" s="648"/>
      <c r="H62" s="632"/>
      <c r="I62" s="648"/>
      <c r="J62" s="632"/>
      <c r="K62" s="632"/>
      <c r="L62" s="632"/>
      <c r="N62" s="742"/>
      <c r="O62" s="662"/>
      <c r="P62" s="662"/>
      <c r="Q62" s="662"/>
      <c r="R62" s="662"/>
      <c r="S62" s="662"/>
      <c r="T62" s="650"/>
      <c r="U62" s="650"/>
      <c r="V62" s="834"/>
      <c r="W62" s="834"/>
      <c r="X62" s="834" t="s">
        <v>710</v>
      </c>
      <c r="Y62" s="834"/>
      <c r="Z62" s="650"/>
      <c r="AA62" s="650"/>
      <c r="AB62" s="650"/>
      <c r="AC62" s="650"/>
      <c r="AD62" s="650"/>
      <c r="AE62" s="650"/>
      <c r="AF62" s="665"/>
      <c r="AG62" s="665"/>
      <c r="AH62" s="665"/>
      <c r="AI62" s="680"/>
      <c r="AJ62" s="680"/>
      <c r="AK62" s="680"/>
      <c r="AL62" s="680"/>
      <c r="AM62" s="680"/>
      <c r="AN62" s="680"/>
      <c r="AO62" s="680"/>
      <c r="AP62" s="665"/>
      <c r="AQ62" s="665"/>
      <c r="AR62" s="847"/>
      <c r="AS62" s="847"/>
      <c r="AT62" s="847"/>
      <c r="AU62" s="665"/>
      <c r="AV62" s="680">
        <f>IF('Key inputs &amp; Outputs'!F9="Yes",AR40/AT61,0)</f>
        <v>123.26256919014084</v>
      </c>
      <c r="AW62" s="678" t="s">
        <v>413</v>
      </c>
      <c r="AX62" s="679"/>
      <c r="AY62" s="666"/>
      <c r="AZ62" s="665"/>
    </row>
    <row r="63" spans="1:52" x14ac:dyDescent="0.25">
      <c r="A63" t="s">
        <v>644</v>
      </c>
      <c r="B63" s="911">
        <f>'Nutrient Inputs'!E31</f>
        <v>30</v>
      </c>
      <c r="C63" s="644">
        <f>'Nutrient Inputs'!E32</f>
        <v>8</v>
      </c>
      <c r="D63" s="632"/>
      <c r="E63" s="632"/>
      <c r="F63" s="632"/>
      <c r="G63" s="644">
        <f>-$C$63*D56/1000-B63</f>
        <v>-118.64265927977841</v>
      </c>
      <c r="H63" s="632"/>
      <c r="I63" s="644">
        <f>-$C$63*D61/1000-B63</f>
        <v>-53.2</v>
      </c>
      <c r="J63" s="647"/>
      <c r="K63" s="647"/>
      <c r="L63" s="644">
        <f>-$C$63*D61/1000-B63</f>
        <v>-53.2</v>
      </c>
      <c r="N63" s="650"/>
      <c r="O63" s="662"/>
      <c r="P63" s="663"/>
      <c r="Q63" s="663">
        <f>-$C$63*N56/1000-B63</f>
        <v>-103.27358504790396</v>
      </c>
      <c r="R63" s="663"/>
      <c r="S63" s="663">
        <f>-$C$63*N61/1000-B63</f>
        <v>-54.8</v>
      </c>
      <c r="T63" s="650"/>
      <c r="U63" s="660">
        <f>-$C$63*N61/1000-B63</f>
        <v>-54.8</v>
      </c>
      <c r="V63" s="838"/>
      <c r="W63" s="834"/>
      <c r="X63" s="844">
        <f>'Nutrient Inputs'!E35</f>
        <v>6</v>
      </c>
      <c r="Y63" s="845">
        <f>IF(Z56&gt;0,-X40*$X63*(1-'Nutrient Inputs'!E17)/Z56,0)</f>
        <v>-119.99999999999999</v>
      </c>
      <c r="Z63" s="650"/>
      <c r="AA63" s="650"/>
      <c r="AB63" s="650"/>
      <c r="AC63" s="650"/>
      <c r="AD63" s="650"/>
      <c r="AE63" s="650"/>
      <c r="AF63" s="665"/>
      <c r="AG63" s="665"/>
      <c r="AH63" s="665"/>
      <c r="AI63" s="665"/>
      <c r="AJ63" s="665"/>
      <c r="AK63" s="680"/>
      <c r="AL63" s="682">
        <f>-$C$63*AJ56/1000-B63</f>
        <v>-103.27358504790396</v>
      </c>
      <c r="AM63" s="682"/>
      <c r="AN63" s="682">
        <f>-$C$63*AJ61/1000-B63</f>
        <v>-54.8</v>
      </c>
      <c r="AO63" s="681"/>
      <c r="AP63" s="665"/>
      <c r="AQ63" s="681">
        <f>-$C$63*AJ61/1000-B63</f>
        <v>-54.8</v>
      </c>
      <c r="AR63" s="847"/>
      <c r="AS63" s="847"/>
      <c r="AT63" s="847"/>
      <c r="AU63" s="665"/>
      <c r="AV63" s="682">
        <f>IF(AV57&gt;0,-AR40*$X63*(1-'Nutrient Inputs'!E17)/AV57,0)</f>
        <v>-59.999999999999993</v>
      </c>
      <c r="AW63" s="665"/>
      <c r="AX63" s="665"/>
      <c r="AY63" s="666"/>
      <c r="AZ63" s="665"/>
    </row>
    <row r="64" spans="1:52" x14ac:dyDescent="0.25">
      <c r="A64" t="s">
        <v>251</v>
      </c>
      <c r="B64" s="645"/>
      <c r="C64" s="644"/>
      <c r="D64" s="632"/>
      <c r="E64" s="632"/>
      <c r="F64" s="632"/>
      <c r="G64" s="644">
        <f>G53+G63</f>
        <v>89.657340720221598</v>
      </c>
      <c r="H64" s="632"/>
      <c r="I64" s="644">
        <f>I53+I63</f>
        <v>29.326443230769229</v>
      </c>
      <c r="J64" s="647"/>
      <c r="K64" s="647"/>
      <c r="L64" s="644">
        <f>L53+L63</f>
        <v>28.903378999999987</v>
      </c>
      <c r="N64" s="650"/>
      <c r="O64" s="662"/>
      <c r="P64" s="663"/>
      <c r="Q64" s="663">
        <f>Q53+Q63</f>
        <v>105.02641495209605</v>
      </c>
      <c r="R64" s="663"/>
      <c r="S64" s="663">
        <f>S53+S63</f>
        <v>51.73845751924496</v>
      </c>
      <c r="T64" s="650"/>
      <c r="U64" s="660">
        <f>U53+U63</f>
        <v>51.172434349226691</v>
      </c>
      <c r="V64" s="838"/>
      <c r="W64" s="834"/>
      <c r="X64" s="834"/>
      <c r="Y64" s="845">
        <f>AB53+Y63</f>
        <v>-24.99111220805338</v>
      </c>
      <c r="Z64" s="650"/>
      <c r="AA64" s="650"/>
      <c r="AB64" s="742"/>
      <c r="AC64" s="662"/>
      <c r="AD64" s="650"/>
      <c r="AE64" s="650"/>
      <c r="AF64" s="665"/>
      <c r="AG64" s="665"/>
      <c r="AH64" s="665"/>
      <c r="AI64" s="665"/>
      <c r="AJ64" s="665"/>
      <c r="AK64" s="680"/>
      <c r="AL64" s="682">
        <f>AL53+AL63</f>
        <v>105.02641495209605</v>
      </c>
      <c r="AM64" s="682"/>
      <c r="AN64" s="682">
        <f>AN53+AN63</f>
        <v>51.73845751924496</v>
      </c>
      <c r="AO64" s="681"/>
      <c r="AP64" s="665"/>
      <c r="AQ64" s="681">
        <f>AQ53+AQ63</f>
        <v>51.172434349226691</v>
      </c>
      <c r="AR64" s="847"/>
      <c r="AS64" s="847"/>
      <c r="AT64" s="847"/>
      <c r="AU64" s="680"/>
      <c r="AV64" s="682">
        <f>AT53+AV63</f>
        <v>10.756152292152301</v>
      </c>
      <c r="AW64" s="665"/>
      <c r="AX64" s="665"/>
      <c r="AY64" s="666"/>
      <c r="AZ64" s="665"/>
    </row>
    <row r="65" spans="1:52" ht="30" x14ac:dyDescent="0.25">
      <c r="A65" t="s">
        <v>252</v>
      </c>
      <c r="B65" s="645"/>
      <c r="C65" s="632"/>
      <c r="D65" s="632"/>
      <c r="E65" s="648"/>
      <c r="F65" s="648"/>
      <c r="G65" s="648"/>
      <c r="H65" s="648"/>
      <c r="I65" s="648"/>
      <c r="J65" s="632"/>
      <c r="K65" s="632"/>
      <c r="L65" s="632"/>
      <c r="N65" s="650"/>
      <c r="O65" s="650"/>
      <c r="P65" s="650"/>
      <c r="Q65" s="650"/>
      <c r="R65" s="650"/>
      <c r="S65" s="650"/>
      <c r="T65" s="833"/>
      <c r="U65" s="833"/>
      <c r="V65" s="834"/>
      <c r="W65" s="834"/>
      <c r="X65" s="944"/>
      <c r="Y65" s="944" t="s">
        <v>814</v>
      </c>
      <c r="Z65" s="650"/>
      <c r="AA65" s="913" t="s">
        <v>754</v>
      </c>
      <c r="AB65" s="650" t="s">
        <v>755</v>
      </c>
      <c r="AC65" s="650"/>
      <c r="AD65" s="650"/>
      <c r="AE65" s="650"/>
      <c r="AF65" s="665"/>
      <c r="AG65" s="665"/>
      <c r="AH65" s="665"/>
      <c r="AI65" s="665"/>
      <c r="AJ65" s="665"/>
      <c r="AK65" s="665"/>
      <c r="AL65" s="665"/>
      <c r="AM65" s="665"/>
      <c r="AN65" s="665"/>
      <c r="AO65" s="665" t="s">
        <v>753</v>
      </c>
      <c r="AP65" s="675"/>
      <c r="AQ65" s="874"/>
      <c r="AR65" s="675" t="s">
        <v>814</v>
      </c>
      <c r="AS65" s="665" t="s">
        <v>754</v>
      </c>
      <c r="AT65" s="665" t="s">
        <v>756</v>
      </c>
      <c r="AU65" s="680"/>
      <c r="AV65" s="665" t="s">
        <v>718</v>
      </c>
      <c r="AW65" s="665"/>
      <c r="AX65" s="665"/>
      <c r="AY65" s="785"/>
      <c r="AZ65" s="665"/>
    </row>
    <row r="66" spans="1:52" x14ac:dyDescent="0.25">
      <c r="A66" t="s">
        <v>241</v>
      </c>
      <c r="B66" s="645"/>
      <c r="C66" s="632"/>
      <c r="D66" s="632"/>
      <c r="E66" s="648"/>
      <c r="F66" s="648"/>
      <c r="G66" s="648">
        <f>G53*MIN(E56,'Key inputs &amp; Outputs'!$F$10*'Nutrient Inputs'!$M$9)</f>
        <v>150393.32884114303</v>
      </c>
      <c r="H66" s="648"/>
      <c r="I66" s="648">
        <f>I53*MIN(E58,E61)</f>
        <v>227660.25703474862</v>
      </c>
      <c r="J66" s="649">
        <f>IF($G$68&gt;$I$68,G66,I66)</f>
        <v>227660.25703474862</v>
      </c>
      <c r="K66" s="649"/>
      <c r="L66" s="649">
        <f>L53*E61</f>
        <v>226493.17763875664</v>
      </c>
      <c r="M66" s="657"/>
      <c r="N66" s="650"/>
      <c r="O66" s="664"/>
      <c r="P66" s="664"/>
      <c r="Q66" s="664">
        <f>MIN(O56,O58)*Q53</f>
        <v>159887.80788217401</v>
      </c>
      <c r="R66" s="664"/>
      <c r="S66" s="664">
        <f>S53*MIN(O61,O58)</f>
        <v>241617.42016337844</v>
      </c>
      <c r="T66" s="657">
        <f>IF($Q$68&gt;$S$68,Q66,S66)</f>
        <v>241617.42016337844</v>
      </c>
      <c r="U66" s="657">
        <f>U53*O61</f>
        <v>240333.74231336068</v>
      </c>
      <c r="V66" s="838">
        <f>(T66-J66)/J66</f>
        <v>6.1306981334469324E-2</v>
      </c>
      <c r="W66" s="834"/>
      <c r="X66" s="845"/>
      <c r="Y66" s="845">
        <f>AB53*Z61</f>
        <v>5855.5198025665732</v>
      </c>
      <c r="Z66" s="656"/>
      <c r="AA66" s="657">
        <f>U66+Y66</f>
        <v>246189.26211592724</v>
      </c>
      <c r="AB66" s="657">
        <f>IFERROR(AA66-L66,0)</f>
        <v>19696.084477170603</v>
      </c>
      <c r="AC66" s="650"/>
      <c r="AD66" s="650"/>
      <c r="AE66" s="650"/>
      <c r="AF66" s="674"/>
      <c r="AG66" s="665"/>
      <c r="AH66" s="674"/>
      <c r="AI66" s="665"/>
      <c r="AJ66" s="665"/>
      <c r="AK66" s="674">
        <f>AL53*MIN(AK56,AK58)</f>
        <v>159887.80788217401</v>
      </c>
      <c r="AL66" s="665"/>
      <c r="AM66" s="674"/>
      <c r="AN66" s="674">
        <f>AN53*MIN(AK61,AK58)</f>
        <v>241617.42016337844</v>
      </c>
      <c r="AO66" s="674">
        <f>IF($AL$68&gt;$AN$68,AL66,AN66)</f>
        <v>241617.42016337844</v>
      </c>
      <c r="AP66" s="682"/>
      <c r="AQ66" s="682">
        <f>AQ53*AK61</f>
        <v>240333.74231336068</v>
      </c>
      <c r="AR66" s="682">
        <f>AT53*$AV$62</f>
        <v>8721.5851175395637</v>
      </c>
      <c r="AS66" s="674">
        <f>AQ66+AR66</f>
        <v>249055.32743090024</v>
      </c>
      <c r="AT66" s="674">
        <f>AS66-L66</f>
        <v>22562.149792143609</v>
      </c>
      <c r="AU66" s="665"/>
      <c r="AV66" s="674">
        <f>AS66-AA66</f>
        <v>2866.065314973006</v>
      </c>
      <c r="AW66" s="674"/>
      <c r="AX66" s="665"/>
      <c r="AY66" s="674"/>
      <c r="AZ66" s="665"/>
    </row>
    <row r="67" spans="1:52" x14ac:dyDescent="0.25">
      <c r="A67" t="s">
        <v>253</v>
      </c>
      <c r="B67" s="645"/>
      <c r="C67" s="632"/>
      <c r="D67" s="632"/>
      <c r="E67" s="648"/>
      <c r="F67" s="648"/>
      <c r="G67" s="648">
        <f>G63*MIN(E56,'Key inputs &amp; Outputs'!$F$10*'Nutrient Inputs'!$M$9)</f>
        <v>-85660.415130347581</v>
      </c>
      <c r="H67" s="648"/>
      <c r="I67" s="648">
        <f>MIN(E61,E58)*I63</f>
        <v>-146759.33191960168</v>
      </c>
      <c r="J67" s="649">
        <f>IF($G$68&gt;$I$68,G67,I67)</f>
        <v>-146759.33191960168</v>
      </c>
      <c r="K67" s="649"/>
      <c r="L67" s="649">
        <f>L63*E61</f>
        <v>-146759.33191960168</v>
      </c>
      <c r="M67" s="657"/>
      <c r="N67" s="650"/>
      <c r="O67" s="664"/>
      <c r="P67" s="664"/>
      <c r="Q67" s="664">
        <f>MIN(O61,O58)*Q63</f>
        <v>-234213.05105520593</v>
      </c>
      <c r="R67" s="664"/>
      <c r="S67" s="664">
        <f>MIN(O61,O58)*S63</f>
        <v>-124280.32968809754</v>
      </c>
      <c r="T67" s="657">
        <f>IF($Q$68&gt;$S$68,Q67,S67)</f>
        <v>-124280.32968809754</v>
      </c>
      <c r="U67" s="657">
        <f>U63*O61</f>
        <v>-124280.32968809754</v>
      </c>
      <c r="V67" s="838">
        <f t="shared" ref="V67:V68" si="23">(T67-J67)/J67</f>
        <v>-0.15316915072779622</v>
      </c>
      <c r="W67" s="834"/>
      <c r="X67" s="845"/>
      <c r="Y67" s="845">
        <f>Y63*Z61</f>
        <v>-7395.7541514084496</v>
      </c>
      <c r="Z67" s="657"/>
      <c r="AA67" s="657">
        <f t="shared" ref="AA67:AA68" si="24">U67+Y67</f>
        <v>-131676.083839506</v>
      </c>
      <c r="AB67" s="657">
        <f t="shared" ref="AB67:AB68" si="25">IFERROR(AA67-L67,0)</f>
        <v>15083.248080095684</v>
      </c>
      <c r="AC67" s="650"/>
      <c r="AD67" s="650"/>
      <c r="AE67" s="650"/>
      <c r="AF67" s="674"/>
      <c r="AG67" s="665"/>
      <c r="AH67" s="674"/>
      <c r="AI67" s="665"/>
      <c r="AJ67" s="665"/>
      <c r="AK67" s="674">
        <f>MIN(AK56,AK58)*AL63</f>
        <v>-79271.181591179193</v>
      </c>
      <c r="AL67" s="665"/>
      <c r="AM67" s="674"/>
      <c r="AN67" s="674">
        <f>AN63*MIN(AK61,AK58)</f>
        <v>-124280.32968809754</v>
      </c>
      <c r="AO67" s="674">
        <f>IF($AL$68&gt;$AN$68,AL67,AN67)</f>
        <v>-124280.32968809754</v>
      </c>
      <c r="AP67" s="682"/>
      <c r="AQ67" s="682">
        <f>AQ63*AK61</f>
        <v>-124280.32968809754</v>
      </c>
      <c r="AR67" s="682">
        <f>AV63*$AV$62</f>
        <v>-7395.7541514084496</v>
      </c>
      <c r="AS67" s="674">
        <f t="shared" ref="AS67:AS68" si="26">AQ67+AR67</f>
        <v>-131676.083839506</v>
      </c>
      <c r="AT67" s="674">
        <f t="shared" ref="AT67:AT68" si="27">AS67-L67</f>
        <v>15083.248080095684</v>
      </c>
      <c r="AU67" s="665"/>
      <c r="AV67" s="674">
        <f>AS67-AA67</f>
        <v>0</v>
      </c>
      <c r="AW67" s="674"/>
      <c r="AX67" s="665"/>
      <c r="AY67" s="674"/>
      <c r="AZ67" s="665"/>
    </row>
    <row r="68" spans="1:52" x14ac:dyDescent="0.25">
      <c r="A68" t="s">
        <v>251</v>
      </c>
      <c r="B68" s="645"/>
      <c r="C68" s="632"/>
      <c r="D68" s="632"/>
      <c r="E68" s="648"/>
      <c r="F68" s="648"/>
      <c r="G68" s="648">
        <f>G66+G67</f>
        <v>64732.913710795445</v>
      </c>
      <c r="H68" s="648"/>
      <c r="I68" s="648">
        <f>I66+I67</f>
        <v>80900.925115146936</v>
      </c>
      <c r="J68" s="649">
        <f>MAX(G68,I68)</f>
        <v>80900.925115146936</v>
      </c>
      <c r="K68" s="649"/>
      <c r="L68" s="649">
        <f>L66+L67</f>
        <v>79733.845719154953</v>
      </c>
      <c r="M68" s="657"/>
      <c r="N68" s="650"/>
      <c r="O68" s="664"/>
      <c r="P68" s="664"/>
      <c r="Q68" s="664">
        <f>Q66+Q67</f>
        <v>-74325.243173031922</v>
      </c>
      <c r="R68" s="664"/>
      <c r="S68" s="664">
        <f>S66+S67</f>
        <v>117337.0904752809</v>
      </c>
      <c r="T68" s="657">
        <f>MAX(Q68,S68)</f>
        <v>117337.0904752809</v>
      </c>
      <c r="U68" s="657">
        <f>U66+U67</f>
        <v>116053.41262526314</v>
      </c>
      <c r="V68" s="838">
        <f t="shared" si="23"/>
        <v>0.45038008290108028</v>
      </c>
      <c r="W68" s="834"/>
      <c r="X68" s="845"/>
      <c r="Y68" s="845">
        <f>Y66+Y67</f>
        <v>-1540.2343488418765</v>
      </c>
      <c r="Z68" s="657"/>
      <c r="AA68" s="657">
        <f t="shared" si="24"/>
        <v>114513.17827642127</v>
      </c>
      <c r="AB68" s="657">
        <f t="shared" si="25"/>
        <v>34779.332557266316</v>
      </c>
      <c r="AC68" s="650"/>
      <c r="AD68" s="650"/>
      <c r="AE68" s="650"/>
      <c r="AF68" s="674"/>
      <c r="AG68" s="665"/>
      <c r="AH68" s="674"/>
      <c r="AI68" s="665"/>
      <c r="AJ68" s="665"/>
      <c r="AK68" s="674">
        <f>AK66+AK67</f>
        <v>80616.626290994813</v>
      </c>
      <c r="AL68" s="665"/>
      <c r="AM68" s="674"/>
      <c r="AN68" s="674">
        <f>AN66+AN67</f>
        <v>117337.0904752809</v>
      </c>
      <c r="AO68" s="674">
        <f>MAX(AL68,AN68)</f>
        <v>117337.0904752809</v>
      </c>
      <c r="AP68" s="682"/>
      <c r="AQ68" s="682">
        <f>AQ66+AQ67</f>
        <v>116053.41262526314</v>
      </c>
      <c r="AR68" s="682">
        <f>AR66+AR67</f>
        <v>1325.8309661311141</v>
      </c>
      <c r="AS68" s="674">
        <f t="shared" si="26"/>
        <v>117379.24359139425</v>
      </c>
      <c r="AT68" s="674">
        <f t="shared" si="27"/>
        <v>37645.397872239293</v>
      </c>
      <c r="AU68" s="680"/>
      <c r="AV68" s="674">
        <f>AS68-AA68</f>
        <v>2866.0653149729769</v>
      </c>
      <c r="AW68" s="674"/>
      <c r="AX68" s="665"/>
      <c r="AY68" s="674"/>
      <c r="AZ68" s="665"/>
    </row>
    <row r="69" spans="1:52" x14ac:dyDescent="0.25">
      <c r="B69" s="632"/>
      <c r="C69" s="648"/>
      <c r="D69" s="648"/>
      <c r="E69" s="648"/>
      <c r="F69" s="648"/>
      <c r="G69" s="644">
        <f>G68/$B$26</f>
        <v>16.642482517482517</v>
      </c>
      <c r="H69" s="648"/>
      <c r="I69" s="644">
        <f>I68/$B$26</f>
        <v>20.799190932331825</v>
      </c>
      <c r="J69" s="644">
        <f>J68/B26</f>
        <v>20.799190932331825</v>
      </c>
      <c r="K69" s="644"/>
      <c r="L69" s="644">
        <f>L68/B26</f>
        <v>20.499141122569107</v>
      </c>
      <c r="M69" s="716" t="s">
        <v>600</v>
      </c>
      <c r="N69" s="657"/>
      <c r="O69" s="657"/>
      <c r="P69" s="664"/>
      <c r="Q69" s="660">
        <f>Q68/$N$26</f>
        <v>-19.108618617742437</v>
      </c>
      <c r="R69" s="660"/>
      <c r="S69" s="660"/>
      <c r="T69" s="660">
        <f>T68/$N$26</f>
        <v>30.166732268710827</v>
      </c>
      <c r="U69" s="660"/>
      <c r="V69" s="846" t="s">
        <v>600</v>
      </c>
      <c r="W69" s="834"/>
      <c r="X69" s="834"/>
      <c r="Y69" s="844"/>
      <c r="Z69" s="716"/>
      <c r="AA69" s="650"/>
      <c r="AB69" s="650"/>
      <c r="AC69" s="650"/>
      <c r="AD69" s="650"/>
      <c r="AE69" s="650"/>
      <c r="AF69" s="665"/>
      <c r="AG69" s="665"/>
      <c r="AH69" s="665"/>
      <c r="AI69" s="665"/>
      <c r="AJ69" s="665"/>
      <c r="AK69" s="665"/>
      <c r="AL69" s="665"/>
      <c r="AM69" s="665"/>
      <c r="AN69" s="665"/>
      <c r="AO69" s="665"/>
      <c r="AP69" s="679"/>
      <c r="AQ69" s="679">
        <f>AQ68/$AF26</f>
        <v>29.836705626121475</v>
      </c>
      <c r="AR69" s="679">
        <f>AR68/$AF$26</f>
        <v>0.34086398108933325</v>
      </c>
      <c r="AS69" s="665"/>
      <c r="AT69" s="679">
        <f>AT68/$AF$26</f>
        <v>9.6784284846417012</v>
      </c>
      <c r="AU69" s="680"/>
      <c r="AV69" s="679">
        <f>AV68/AR40</f>
        <v>1.1625854198089436</v>
      </c>
      <c r="AW69" s="717" t="s">
        <v>600</v>
      </c>
      <c r="AX69" s="679"/>
      <c r="AY69" s="665"/>
      <c r="AZ69" s="665"/>
    </row>
    <row r="70" spans="1:52" x14ac:dyDescent="0.25">
      <c r="B70" s="632"/>
      <c r="C70" s="648"/>
      <c r="D70" s="648"/>
      <c r="E70" s="648"/>
      <c r="F70" s="648"/>
      <c r="G70" s="648"/>
      <c r="H70" s="648"/>
      <c r="I70" s="648"/>
      <c r="J70" s="632" t="str">
        <f>IF(J68=G68,"N-based","N &amp; P-based")</f>
        <v>N &amp; P-based</v>
      </c>
      <c r="K70" s="632"/>
      <c r="L70" s="632"/>
      <c r="M70" s="716"/>
      <c r="N70" s="657"/>
      <c r="O70" s="657"/>
      <c r="P70" s="660"/>
      <c r="Q70" s="660"/>
      <c r="R70" s="660"/>
      <c r="S70" s="660"/>
      <c r="T70" s="660"/>
      <c r="U70" s="660"/>
      <c r="V70" s="716"/>
      <c r="W70" s="650"/>
      <c r="X70" s="650"/>
      <c r="Y70" s="660"/>
      <c r="Z70" s="716"/>
      <c r="AA70" s="650"/>
      <c r="AB70" s="650"/>
      <c r="AC70" s="650"/>
      <c r="AD70" s="650"/>
      <c r="AE70" s="650"/>
      <c r="AF70" s="665"/>
      <c r="AG70" s="665"/>
      <c r="AH70" s="665"/>
      <c r="AI70" s="665"/>
      <c r="AJ70" s="665"/>
      <c r="AK70" s="665"/>
      <c r="AL70" s="679"/>
      <c r="AM70" s="679"/>
      <c r="AN70" s="679"/>
      <c r="AO70" s="679"/>
      <c r="AP70" s="679"/>
      <c r="AQ70" s="679"/>
      <c r="AR70" s="665"/>
      <c r="AS70" s="665"/>
      <c r="AT70" s="665"/>
      <c r="AU70" s="832"/>
      <c r="AV70" s="680" t="str">
        <f>IF(AV61&gt;=AV56,"Yes, enough cropland is available.","No, more cropland will be needed.")</f>
        <v>Yes, enough cropland is available.</v>
      </c>
      <c r="AW70" s="678"/>
      <c r="AX70" s="679"/>
      <c r="AY70" s="665"/>
      <c r="AZ70" s="665"/>
    </row>
    <row r="71" spans="1:52" x14ac:dyDescent="0.25">
      <c r="B71" s="632"/>
      <c r="C71" s="782"/>
      <c r="D71" s="645" t="str">
        <f>IF('Key inputs &amp; Outputs'!$F$13*'Nutrient Inputs'!$M$9&gt;=E58,"Yes, enough cropland is available.","No, more cropland will be needed.")</f>
        <v>Yes, enough cropland is available.</v>
      </c>
      <c r="E71" s="648"/>
      <c r="F71" s="648"/>
      <c r="G71" s="648"/>
      <c r="H71" s="648"/>
      <c r="I71" s="648"/>
      <c r="J71" s="644"/>
      <c r="K71" s="644"/>
      <c r="L71" s="644"/>
      <c r="M71" s="716"/>
      <c r="N71" s="657"/>
      <c r="O71" s="657"/>
      <c r="P71" s="660"/>
      <c r="Q71" s="660"/>
      <c r="R71" s="660"/>
      <c r="S71" s="660"/>
      <c r="T71" s="660"/>
      <c r="U71" s="660"/>
      <c r="V71" s="716"/>
      <c r="W71" s="650"/>
      <c r="X71" s="650"/>
      <c r="Y71" s="783"/>
      <c r="Z71" s="662" t="str">
        <f>IF(Z58&gt;=Z55,"Yes, enough cropland is available to apply N.","No, more cropland will be needed to apply N.")</f>
        <v>Yes, enough cropland is available to apply N.</v>
      </c>
      <c r="AA71" s="661"/>
      <c r="AB71" s="650"/>
      <c r="AC71" s="650"/>
      <c r="AD71" s="650"/>
      <c r="AE71" s="650"/>
      <c r="AF71" s="665"/>
      <c r="AG71" s="665"/>
      <c r="AH71" s="665"/>
      <c r="AI71" s="665"/>
      <c r="AJ71" s="665"/>
      <c r="AK71" s="665"/>
      <c r="AL71" s="679"/>
      <c r="AM71" s="679"/>
      <c r="AN71" s="679"/>
      <c r="AO71" s="679"/>
      <c r="AP71" s="679"/>
      <c r="AQ71" s="679"/>
      <c r="AR71" s="665"/>
      <c r="AS71" s="665"/>
      <c r="AT71" s="665"/>
      <c r="AU71" s="781"/>
      <c r="AV71" s="680" t="str">
        <f>IF(AJ51*AV56&gt;AK51*AV61,"Yes, excess P is being applied and may build up over time.","No, P applications are less than or equal to crop P needs.")</f>
        <v>No, P applications are less than or equal to crop P needs.</v>
      </c>
      <c r="AW71" s="680"/>
      <c r="AX71" s="680"/>
      <c r="AY71" s="665"/>
      <c r="AZ71" s="665"/>
    </row>
    <row r="72" spans="1:52" x14ac:dyDescent="0.25">
      <c r="B72" s="632"/>
      <c r="C72" s="781"/>
      <c r="D72" s="645" t="str">
        <f>IF(C51*E58&gt;D51*'Key inputs &amp; Outputs'!$F$13*'Nutrient Inputs'!$M$9,"Yes, excess P is being applied and may build up over time.","No, P applications are less than or equal to crop P needs.")</f>
        <v>Yes, excess P is being applied and may build up over time.</v>
      </c>
      <c r="E72" s="648"/>
      <c r="F72" s="648"/>
      <c r="G72" s="648"/>
      <c r="H72" s="648"/>
      <c r="I72" s="648"/>
      <c r="J72" s="644"/>
      <c r="K72" s="644"/>
      <c r="L72" s="644"/>
      <c r="M72" s="716"/>
      <c r="N72" s="657"/>
      <c r="O72" s="657"/>
      <c r="P72" s="660"/>
      <c r="Q72" s="660"/>
      <c r="R72" s="660"/>
      <c r="S72" s="660"/>
      <c r="T72" s="660"/>
      <c r="U72" s="660"/>
      <c r="V72" s="716"/>
      <c r="W72" s="650"/>
      <c r="X72" s="650"/>
      <c r="Y72" s="781"/>
      <c r="Z72" s="662" t="str">
        <f>IF(N51*Z55&gt;P51*Z58,"Yes, excess P is being applied and may build up over time.","No, P applications are less than or equal to crop P needs.")</f>
        <v>No, P applications are less than or equal to crop P needs.</v>
      </c>
      <c r="AA72" s="661"/>
      <c r="AB72" s="650"/>
      <c r="AC72" s="650"/>
      <c r="AD72" s="650"/>
      <c r="AE72" s="650"/>
      <c r="AF72" s="665"/>
      <c r="AG72" s="665"/>
      <c r="AH72" s="665"/>
      <c r="AI72" s="665"/>
      <c r="AJ72" s="665"/>
      <c r="AK72" s="665"/>
      <c r="AL72" s="679"/>
      <c r="AM72" s="679"/>
      <c r="AN72" s="679"/>
      <c r="AO72" s="679"/>
      <c r="AP72" s="679"/>
      <c r="AQ72" s="679"/>
      <c r="AR72" s="665"/>
      <c r="AS72" s="665"/>
      <c r="AT72" s="665"/>
      <c r="AU72" s="680"/>
      <c r="AV72" s="665"/>
      <c r="AW72" s="665"/>
      <c r="AX72" s="665"/>
      <c r="AY72" s="665"/>
      <c r="AZ72" s="665"/>
    </row>
    <row r="73" spans="1:52" s="684" customFormat="1" ht="18.75" x14ac:dyDescent="0.3">
      <c r="A73" s="686" t="s">
        <v>684</v>
      </c>
      <c r="C73" s="689"/>
      <c r="D73" s="689"/>
      <c r="N73" s="685"/>
      <c r="T73" s="691"/>
      <c r="U73" s="691"/>
      <c r="V73" s="685"/>
      <c r="W73" s="685"/>
      <c r="X73" s="685"/>
      <c r="Y73" s="685"/>
      <c r="Z73" s="685"/>
      <c r="AA73" s="685"/>
      <c r="AB73" s="691"/>
      <c r="AD73" s="691"/>
      <c r="AE73" s="691"/>
      <c r="AF73" s="690"/>
      <c r="AH73" s="685"/>
      <c r="AI73" s="685"/>
      <c r="AJ73" s="685"/>
      <c r="AP73" s="691"/>
      <c r="AQ73" s="691"/>
      <c r="AR73" s="665"/>
      <c r="AS73" s="665"/>
      <c r="AT73" s="665"/>
      <c r="AU73" s="665"/>
      <c r="AV73" s="680"/>
      <c r="AW73" s="678"/>
      <c r="AX73" s="679"/>
      <c r="AY73" s="666"/>
      <c r="AZ73" s="665"/>
    </row>
    <row r="74" spans="1:52" s="822" customFormat="1" ht="18.75" x14ac:dyDescent="0.3">
      <c r="A74" s="439" t="s">
        <v>668</v>
      </c>
      <c r="C74" s="823" t="str">
        <f>'Key inputs &amp; Outputs'!F8</f>
        <v>Yes</v>
      </c>
      <c r="D74" s="823"/>
      <c r="N74" s="824"/>
      <c r="T74" s="825"/>
      <c r="U74" s="825"/>
      <c r="V74" s="824"/>
      <c r="W74" s="824"/>
      <c r="X74" s="824"/>
      <c r="Y74" s="824"/>
      <c r="Z74" s="824"/>
      <c r="AA74" s="824"/>
      <c r="AB74" s="825"/>
      <c r="AD74" s="825"/>
      <c r="AE74" s="825"/>
      <c r="AF74" s="826"/>
      <c r="AH74" s="824"/>
      <c r="AI74" s="824"/>
      <c r="AJ74" s="824"/>
      <c r="AP74" s="825"/>
      <c r="AQ74" s="825"/>
      <c r="AR74" s="665"/>
      <c r="AS74" s="665"/>
      <c r="AT74" s="665"/>
      <c r="AU74" s="665"/>
      <c r="AV74" s="680"/>
      <c r="AW74" s="678"/>
      <c r="AX74" s="679"/>
      <c r="AY74" s="666"/>
      <c r="AZ74" s="831"/>
    </row>
    <row r="75" spans="1:52" x14ac:dyDescent="0.25">
      <c r="C75" s="388"/>
      <c r="D75" s="388"/>
      <c r="E75" s="388"/>
      <c r="F75" s="388"/>
      <c r="G75" s="388"/>
      <c r="H75" s="388"/>
      <c r="I75" s="388"/>
      <c r="J75" s="388"/>
      <c r="K75" s="388"/>
      <c r="L75" s="388"/>
      <c r="M75" s="657"/>
      <c r="N75" s="388" t="s">
        <v>791</v>
      </c>
      <c r="O75" s="388"/>
      <c r="P75" s="388"/>
      <c r="Q75" s="388"/>
      <c r="R75" s="388"/>
      <c r="S75" s="388"/>
      <c r="T75" s="388"/>
      <c r="U75" s="388"/>
      <c r="V75" s="388"/>
      <c r="W75" s="388"/>
      <c r="X75" s="388"/>
      <c r="Y75" s="388"/>
      <c r="Z75" s="388"/>
    </row>
    <row r="76" spans="1:52" x14ac:dyDescent="0.25">
      <c r="C76" s="388"/>
      <c r="D76" s="388"/>
      <c r="E76" s="388"/>
      <c r="F76" s="388"/>
      <c r="G76" s="388"/>
      <c r="H76" s="388"/>
      <c r="I76" s="388"/>
      <c r="J76" s="388"/>
      <c r="K76" s="388"/>
      <c r="L76" s="388"/>
      <c r="M76" s="657"/>
      <c r="N76" t="s">
        <v>571</v>
      </c>
      <c r="AF76" s="388" t="str">
        <f>N76</f>
        <v>manure and food waste, no grass</v>
      </c>
    </row>
    <row r="77" spans="1:52" x14ac:dyDescent="0.25">
      <c r="C77" s="388"/>
      <c r="D77" s="388"/>
      <c r="E77" s="388"/>
      <c r="F77" s="388"/>
      <c r="G77" s="388"/>
      <c r="H77" s="388"/>
      <c r="I77" s="388"/>
      <c r="J77" s="388"/>
      <c r="K77" s="388"/>
      <c r="L77" s="388"/>
      <c r="M77" s="657"/>
      <c r="N77" s="654">
        <f>IF(AND('Key inputs &amp; Outputs'!F8="Yes",'Key inputs &amp; Outputs'!F9="Yes"),(N25*'Nutrient Inputs'!E14+N26*'Nutrient Inputs'!E15)*365/'Nutrient Inputs'!E21,0)</f>
        <v>4930.5027676056334</v>
      </c>
      <c r="O77" s="650" t="s">
        <v>699</v>
      </c>
      <c r="P77" s="388"/>
      <c r="Q77" s="388"/>
      <c r="R77" s="388"/>
      <c r="S77" s="388"/>
      <c r="T77" s="388"/>
      <c r="U77" s="388"/>
      <c r="V77" s="388"/>
      <c r="W77" s="388"/>
      <c r="X77" s="388"/>
      <c r="Y77" s="388"/>
      <c r="Z77" s="388"/>
      <c r="AF77" t="s">
        <v>800</v>
      </c>
    </row>
    <row r="78" spans="1:52" x14ac:dyDescent="0.25">
      <c r="C78" s="388"/>
      <c r="D78" s="388"/>
      <c r="E78" s="388"/>
      <c r="F78" s="388"/>
      <c r="G78" s="388"/>
      <c r="H78" s="388"/>
      <c r="I78" s="388"/>
      <c r="J78" s="388"/>
      <c r="K78" s="388"/>
      <c r="L78" s="388"/>
      <c r="M78" s="657"/>
      <c r="N78" s="655">
        <v>15</v>
      </c>
      <c r="O78" s="650" t="s">
        <v>772</v>
      </c>
      <c r="P78" s="388"/>
      <c r="Q78" s="388"/>
      <c r="R78" s="388"/>
      <c r="S78" s="388"/>
      <c r="T78" s="388"/>
      <c r="U78" s="388"/>
      <c r="V78" s="388"/>
      <c r="W78" s="388"/>
      <c r="X78" s="388"/>
      <c r="Y78" s="388"/>
      <c r="Z78" s="388"/>
      <c r="AF78" s="671">
        <f>IF(AND('Key inputs &amp; Outputs'!F8="Yes",'Key inputs &amp; Outputs'!F9="Yes"),(AF23*'Nutrient Inputs'!E14+AF24*'Nutrient Inputs'!E16)*365/'Nutrient Inputs'!E21,0)</f>
        <v>4930.5027676056334</v>
      </c>
      <c r="AG78" s="665" t="s">
        <v>699</v>
      </c>
      <c r="AH78" s="665"/>
    </row>
    <row r="79" spans="1:52" x14ac:dyDescent="0.25">
      <c r="C79" s="388"/>
      <c r="D79" s="388"/>
      <c r="E79" s="388"/>
      <c r="F79" s="388"/>
      <c r="G79" s="388"/>
      <c r="H79" s="388"/>
      <c r="I79" s="388"/>
      <c r="J79" s="388"/>
      <c r="K79" s="388"/>
      <c r="L79" s="388"/>
      <c r="M79" s="657"/>
      <c r="N79" s="657">
        <f>N77*N78*(1-'Nutrient Inputs'!E17)</f>
        <v>36978.77075704225</v>
      </c>
      <c r="O79" s="650" t="s">
        <v>370</v>
      </c>
      <c r="P79" s="388"/>
      <c r="Q79" s="388"/>
      <c r="R79" s="388"/>
      <c r="S79" s="388"/>
      <c r="T79" s="388"/>
      <c r="U79" s="388"/>
      <c r="V79" s="388"/>
      <c r="W79" s="388"/>
      <c r="X79" s="388"/>
      <c r="Y79" s="388"/>
      <c r="Z79" s="388"/>
      <c r="AF79" s="670">
        <f>N78</f>
        <v>15</v>
      </c>
      <c r="AG79" s="665" t="s">
        <v>772</v>
      </c>
      <c r="AH79" s="665"/>
    </row>
    <row r="80" spans="1:52" x14ac:dyDescent="0.25">
      <c r="C80" s="388"/>
      <c r="D80" s="388"/>
      <c r="E80" s="388"/>
      <c r="F80" s="388"/>
      <c r="G80" s="388"/>
      <c r="H80" s="388"/>
      <c r="I80" s="388"/>
      <c r="J80" s="388"/>
      <c r="K80" s="388"/>
      <c r="L80" s="388"/>
      <c r="M80" s="657"/>
      <c r="P80" s="388"/>
      <c r="Q80" s="388"/>
      <c r="R80" s="388"/>
      <c r="S80" s="388"/>
      <c r="T80" s="388"/>
      <c r="U80" s="388"/>
      <c r="V80" s="388"/>
      <c r="W80" s="388"/>
      <c r="X80" s="388"/>
      <c r="Y80" s="388"/>
      <c r="Z80" s="388"/>
      <c r="AF80" s="674">
        <f>AF78*AF79*(1-'Nutrient Inputs'!E17)</f>
        <v>36978.77075704225</v>
      </c>
      <c r="AG80" s="665" t="s">
        <v>370</v>
      </c>
      <c r="AH80" s="665"/>
    </row>
    <row r="81" spans="3:26" x14ac:dyDescent="0.25">
      <c r="C81" s="388"/>
      <c r="D81" s="388"/>
      <c r="E81" s="388"/>
      <c r="F81" s="388"/>
      <c r="G81" s="388"/>
      <c r="H81" s="388"/>
      <c r="I81" s="388"/>
      <c r="J81" s="388"/>
      <c r="K81" s="388"/>
      <c r="L81" s="388"/>
      <c r="M81" s="657"/>
      <c r="P81" s="388"/>
      <c r="Q81" s="388"/>
      <c r="R81" s="388"/>
      <c r="S81" s="388"/>
      <c r="T81" s="388"/>
      <c r="U81" s="388"/>
      <c r="V81" s="388"/>
      <c r="W81" s="388"/>
      <c r="X81" s="388"/>
      <c r="Y81" s="388"/>
      <c r="Z81" s="388"/>
    </row>
    <row r="82" spans="3:26" x14ac:dyDescent="0.25">
      <c r="C82" s="388"/>
      <c r="D82" s="388"/>
      <c r="E82" s="388"/>
      <c r="F82" s="388"/>
      <c r="G82" s="388"/>
      <c r="H82" s="388"/>
      <c r="I82" s="388"/>
      <c r="J82" s="388"/>
      <c r="K82" s="388"/>
      <c r="L82" s="388"/>
      <c r="M82" s="657"/>
      <c r="N82" s="388"/>
      <c r="O82" s="388"/>
      <c r="P82" s="388"/>
      <c r="Q82" s="388"/>
      <c r="R82" s="388"/>
      <c r="S82" s="388"/>
      <c r="T82" s="388"/>
      <c r="U82" s="388"/>
      <c r="V82" s="388"/>
      <c r="W82" s="388"/>
      <c r="X82" s="388"/>
      <c r="Y82" s="388"/>
      <c r="Z82" s="388"/>
    </row>
    <row r="83" spans="3:26" x14ac:dyDescent="0.25">
      <c r="C83" s="388"/>
      <c r="D83" s="388"/>
      <c r="E83" s="388"/>
      <c r="F83" s="388"/>
      <c r="G83" s="388"/>
      <c r="H83" s="388"/>
      <c r="I83" s="388"/>
      <c r="J83" s="388"/>
      <c r="K83" s="388"/>
      <c r="L83" s="388"/>
      <c r="M83" s="657"/>
      <c r="N83" s="388"/>
      <c r="O83" s="388"/>
      <c r="P83" s="388"/>
      <c r="Q83" s="388"/>
      <c r="R83" s="388"/>
      <c r="S83" s="388"/>
      <c r="T83" s="388"/>
      <c r="U83" s="388"/>
      <c r="V83" s="388"/>
      <c r="W83" s="388"/>
      <c r="X83" s="388"/>
      <c r="Y83" s="388"/>
      <c r="Z83" s="388"/>
    </row>
    <row r="84" spans="3:26" x14ac:dyDescent="0.25">
      <c r="C84" s="388"/>
      <c r="D84" s="388"/>
      <c r="E84" s="388"/>
      <c r="F84" s="388"/>
      <c r="G84" s="388"/>
      <c r="H84" s="388"/>
      <c r="I84" s="388"/>
      <c r="J84" s="388"/>
      <c r="K84" s="388"/>
      <c r="L84" s="388"/>
      <c r="M84" s="657"/>
      <c r="N84" s="388"/>
      <c r="O84" s="388"/>
      <c r="P84" s="388"/>
      <c r="Q84" s="388"/>
      <c r="R84" s="388"/>
      <c r="S84" s="388"/>
      <c r="T84" s="388"/>
      <c r="U84" s="388"/>
      <c r="V84" s="388"/>
      <c r="W84" s="388"/>
      <c r="X84" s="388"/>
      <c r="Y84" s="388"/>
      <c r="Z84" s="388"/>
    </row>
    <row r="85" spans="3:26" x14ac:dyDescent="0.25">
      <c r="C85" s="388"/>
      <c r="D85" s="388"/>
      <c r="E85" s="388"/>
      <c r="F85" s="388"/>
      <c r="G85" s="388"/>
      <c r="H85" s="388"/>
      <c r="I85" s="388"/>
      <c r="J85" s="388"/>
      <c r="K85" s="388"/>
      <c r="L85" s="388"/>
      <c r="M85" s="657"/>
      <c r="N85" s="388"/>
      <c r="O85" s="388"/>
      <c r="P85" s="388"/>
      <c r="Q85" s="388"/>
      <c r="R85" s="388"/>
      <c r="S85" s="388"/>
      <c r="T85" s="388"/>
      <c r="U85" s="388"/>
      <c r="V85" s="388"/>
      <c r="W85" s="388"/>
      <c r="X85" s="388"/>
      <c r="Y85" s="388"/>
      <c r="Z85" s="388"/>
    </row>
    <row r="86" spans="3:26" x14ac:dyDescent="0.25">
      <c r="C86" s="388"/>
      <c r="D86" s="388"/>
      <c r="E86" s="388"/>
      <c r="F86" s="388"/>
      <c r="G86" s="388"/>
      <c r="H86" s="388"/>
      <c r="I86" s="388"/>
      <c r="J86" s="388"/>
      <c r="K86" s="388"/>
      <c r="L86" s="388"/>
      <c r="M86" s="657"/>
      <c r="N86" s="388"/>
      <c r="O86" s="388"/>
      <c r="P86" s="388"/>
      <c r="Q86" s="388"/>
      <c r="R86" s="388"/>
      <c r="S86" s="388"/>
      <c r="T86" s="388"/>
      <c r="U86" s="388"/>
      <c r="V86" s="388"/>
      <c r="W86" s="388"/>
      <c r="X86" s="388"/>
      <c r="Y86" s="388"/>
      <c r="Z86" s="388"/>
    </row>
    <row r="87" spans="3:26" x14ac:dyDescent="0.25">
      <c r="C87" s="388"/>
      <c r="D87" s="388"/>
      <c r="E87" s="388"/>
      <c r="F87" s="388"/>
      <c r="G87" s="388"/>
      <c r="H87" s="388"/>
      <c r="I87" s="388"/>
      <c r="J87" s="388"/>
      <c r="K87" s="388"/>
      <c r="L87" s="388"/>
      <c r="M87" s="657"/>
      <c r="N87" s="388"/>
      <c r="O87" s="388"/>
      <c r="P87" s="388"/>
      <c r="Q87" s="388"/>
      <c r="R87" s="388"/>
      <c r="S87" s="388"/>
      <c r="T87" s="388"/>
      <c r="U87" s="388"/>
      <c r="V87" s="388"/>
      <c r="W87" s="388"/>
      <c r="X87" s="388"/>
      <c r="Y87" s="388"/>
      <c r="Z87" s="388"/>
    </row>
    <row r="88" spans="3:26" x14ac:dyDescent="0.25">
      <c r="C88" s="388"/>
      <c r="D88" s="388"/>
      <c r="E88" s="388"/>
      <c r="F88" s="388"/>
      <c r="G88" s="388"/>
      <c r="H88" s="388"/>
      <c r="I88" s="388"/>
      <c r="J88" s="388"/>
      <c r="K88" s="388"/>
      <c r="L88" s="388"/>
      <c r="M88" s="657"/>
      <c r="N88" s="388"/>
      <c r="O88" s="388"/>
      <c r="P88" s="388"/>
      <c r="Q88" s="388"/>
      <c r="R88" s="388"/>
      <c r="S88" s="388"/>
      <c r="T88" s="388"/>
      <c r="U88" s="388"/>
      <c r="V88" s="388"/>
      <c r="W88" s="388"/>
      <c r="X88" s="388"/>
      <c r="Y88" s="388"/>
      <c r="Z88" s="388"/>
    </row>
    <row r="89" spans="3:26" x14ac:dyDescent="0.25">
      <c r="C89" s="388"/>
      <c r="D89" s="388"/>
      <c r="E89" s="388"/>
      <c r="F89" s="388"/>
      <c r="G89" s="388"/>
      <c r="H89" s="388"/>
      <c r="I89" s="388"/>
      <c r="J89" s="388"/>
      <c r="K89" s="388"/>
      <c r="L89" s="388"/>
      <c r="M89" s="657"/>
      <c r="N89" s="388"/>
      <c r="O89" s="388"/>
      <c r="P89" s="388"/>
      <c r="Q89" s="388"/>
      <c r="R89" s="388"/>
      <c r="S89" s="388"/>
      <c r="T89" s="388"/>
      <c r="U89" s="388"/>
      <c r="V89" s="388"/>
      <c r="W89" s="388"/>
      <c r="X89" s="388"/>
      <c r="Y89" s="388"/>
      <c r="Z89" s="388"/>
    </row>
    <row r="90" spans="3:26" x14ac:dyDescent="0.25">
      <c r="C90" s="388"/>
      <c r="D90" s="388"/>
      <c r="E90" s="388"/>
      <c r="F90" s="388"/>
      <c r="G90" s="388"/>
      <c r="H90" s="388"/>
      <c r="I90" s="388"/>
      <c r="J90" s="388"/>
      <c r="K90" s="388"/>
      <c r="L90" s="388"/>
      <c r="M90" s="657"/>
      <c r="N90" s="388"/>
      <c r="O90" s="388"/>
      <c r="P90" s="388"/>
      <c r="Q90" s="388"/>
      <c r="R90" s="388"/>
      <c r="S90" s="388"/>
      <c r="T90" s="388"/>
      <c r="U90" s="388"/>
      <c r="V90" s="388"/>
      <c r="W90" s="388"/>
      <c r="X90" s="388"/>
      <c r="Y90" s="388"/>
      <c r="Z90" s="388"/>
    </row>
    <row r="91" spans="3:26" x14ac:dyDescent="0.25">
      <c r="C91" s="388"/>
      <c r="D91" s="388"/>
      <c r="E91" s="388"/>
      <c r="F91" s="388"/>
      <c r="G91" s="388"/>
      <c r="H91" s="388"/>
      <c r="I91" s="388"/>
      <c r="J91" s="388"/>
      <c r="K91" s="388"/>
      <c r="L91" s="388"/>
      <c r="M91" s="657"/>
      <c r="N91" s="388"/>
      <c r="O91" s="388"/>
      <c r="P91" s="388"/>
      <c r="Q91" s="388"/>
      <c r="R91" s="388"/>
      <c r="S91" s="388"/>
      <c r="T91" s="388"/>
      <c r="U91" s="388"/>
      <c r="V91" s="388"/>
      <c r="W91" s="388"/>
      <c r="X91" s="388"/>
      <c r="Y91" s="388"/>
      <c r="Z91" s="388"/>
    </row>
    <row r="92" spans="3:26" x14ac:dyDescent="0.25">
      <c r="C92" s="388"/>
      <c r="D92" s="388"/>
      <c r="E92" s="388"/>
      <c r="F92" s="388"/>
      <c r="G92" s="388"/>
      <c r="H92" s="388"/>
      <c r="I92" s="388"/>
      <c r="J92" s="388"/>
      <c r="K92" s="388"/>
      <c r="L92" s="388"/>
      <c r="M92" s="657"/>
      <c r="N92" s="388"/>
      <c r="O92" s="388"/>
      <c r="P92" s="388"/>
      <c r="Q92" s="388"/>
      <c r="R92" s="388"/>
      <c r="S92" s="388"/>
      <c r="T92" s="388"/>
      <c r="U92" s="388"/>
      <c r="V92" s="388"/>
      <c r="W92" s="388"/>
      <c r="X92" s="388"/>
      <c r="Y92" s="388"/>
      <c r="Z92" s="388"/>
    </row>
    <row r="93" spans="3:26" x14ac:dyDescent="0.25">
      <c r="C93" s="388"/>
      <c r="D93" s="388"/>
      <c r="E93" s="388"/>
      <c r="F93" s="388"/>
      <c r="G93" s="388"/>
      <c r="H93" s="388"/>
      <c r="I93" s="388"/>
      <c r="J93" s="388"/>
      <c r="K93" s="388"/>
      <c r="L93" s="388"/>
      <c r="M93" s="657"/>
      <c r="N93" s="388"/>
      <c r="O93" s="388"/>
      <c r="P93" s="388"/>
      <c r="Q93" s="388"/>
      <c r="R93" s="388"/>
      <c r="S93" s="388"/>
      <c r="T93" s="388"/>
      <c r="U93" s="388"/>
      <c r="V93" s="388"/>
      <c r="W93" s="388"/>
      <c r="X93" s="388"/>
      <c r="Y93" s="388"/>
      <c r="Z93" s="388"/>
    </row>
    <row r="94" spans="3:26" x14ac:dyDescent="0.25">
      <c r="C94" s="388"/>
      <c r="D94" s="388"/>
      <c r="E94" s="388"/>
      <c r="F94" s="388"/>
      <c r="G94" s="388"/>
      <c r="H94" s="388"/>
      <c r="I94" s="388"/>
      <c r="J94" s="388"/>
      <c r="K94" s="388"/>
      <c r="L94" s="388"/>
      <c r="M94" s="657"/>
      <c r="N94" s="388"/>
      <c r="O94" s="388"/>
      <c r="P94" s="388"/>
      <c r="Q94" s="388"/>
      <c r="R94" s="388"/>
      <c r="S94" s="388"/>
      <c r="T94" s="388"/>
      <c r="U94" s="388"/>
      <c r="V94" s="388"/>
      <c r="W94" s="388"/>
      <c r="X94" s="388"/>
      <c r="Y94" s="388"/>
      <c r="Z94" s="388"/>
    </row>
    <row r="95" spans="3:26" x14ac:dyDescent="0.25">
      <c r="C95" s="388"/>
      <c r="D95" s="388"/>
      <c r="E95" s="388"/>
      <c r="F95" s="388"/>
      <c r="G95" s="388"/>
      <c r="H95" s="388"/>
      <c r="I95" s="388"/>
      <c r="J95" s="388"/>
      <c r="K95" s="388"/>
      <c r="L95" s="388"/>
      <c r="M95" s="657"/>
      <c r="N95" s="388"/>
      <c r="O95" s="388"/>
      <c r="P95" s="388"/>
      <c r="Q95" s="388"/>
      <c r="R95" s="388"/>
      <c r="S95" s="388"/>
      <c r="T95" s="388"/>
      <c r="U95" s="388"/>
      <c r="V95" s="388"/>
      <c r="W95" s="388"/>
      <c r="X95" s="388"/>
      <c r="Y95" s="388"/>
      <c r="Z95" s="388"/>
    </row>
    <row r="96" spans="3:26" x14ac:dyDescent="0.25">
      <c r="C96" s="388"/>
      <c r="D96" s="388"/>
      <c r="E96" s="388"/>
      <c r="F96" s="388"/>
      <c r="G96" s="388"/>
      <c r="H96" s="388"/>
      <c r="I96" s="388"/>
      <c r="J96" s="388"/>
      <c r="K96" s="388"/>
      <c r="L96" s="388"/>
      <c r="M96" s="657"/>
      <c r="N96" s="388"/>
      <c r="O96" s="388"/>
      <c r="P96" s="388"/>
      <c r="Q96" s="388"/>
      <c r="R96" s="388"/>
      <c r="S96" s="388"/>
      <c r="T96" s="388"/>
      <c r="U96" s="388"/>
      <c r="V96" s="388"/>
      <c r="W96" s="388"/>
      <c r="X96" s="388"/>
      <c r="Y96" s="388"/>
      <c r="Z96" s="388"/>
    </row>
    <row r="97" spans="3:49" x14ac:dyDescent="0.25">
      <c r="C97" s="388"/>
      <c r="D97" s="388"/>
      <c r="E97" s="388"/>
      <c r="F97" s="388"/>
      <c r="G97" s="388"/>
      <c r="H97" s="388"/>
      <c r="I97" s="388"/>
      <c r="J97" s="388"/>
      <c r="K97" s="388"/>
      <c r="L97" s="388"/>
      <c r="M97" s="657"/>
      <c r="N97" s="388"/>
      <c r="O97" s="388"/>
      <c r="P97" s="388"/>
      <c r="Q97" s="388"/>
      <c r="R97" s="388"/>
      <c r="S97" s="388"/>
      <c r="T97" s="388"/>
      <c r="U97" s="388"/>
      <c r="V97" s="388"/>
      <c r="W97" s="388"/>
      <c r="X97" s="388"/>
      <c r="Y97" s="388"/>
      <c r="Z97" s="388"/>
    </row>
    <row r="98" spans="3:49" x14ac:dyDescent="0.25">
      <c r="C98" s="388"/>
      <c r="D98" s="388"/>
      <c r="E98" s="388"/>
      <c r="F98" s="388"/>
      <c r="G98" s="388"/>
      <c r="H98" s="388"/>
      <c r="I98" s="388"/>
      <c r="J98" s="388"/>
      <c r="K98" s="388"/>
      <c r="L98" s="388"/>
      <c r="M98" s="657"/>
      <c r="N98" s="388"/>
      <c r="O98" s="388"/>
      <c r="P98" s="388"/>
      <c r="Q98" s="388"/>
      <c r="R98" s="388"/>
      <c r="S98" s="388"/>
      <c r="T98" s="388"/>
      <c r="U98" s="388"/>
      <c r="V98" s="388"/>
      <c r="W98" s="388"/>
      <c r="X98" s="388"/>
      <c r="Y98" s="388"/>
      <c r="Z98" s="388"/>
    </row>
    <row r="99" spans="3:49" x14ac:dyDescent="0.25">
      <c r="C99" s="388"/>
      <c r="D99" s="388"/>
      <c r="E99" s="388"/>
      <c r="F99" s="388"/>
      <c r="G99" s="388"/>
      <c r="H99" s="388"/>
      <c r="I99" s="388"/>
      <c r="J99" s="388"/>
      <c r="K99" s="388"/>
      <c r="L99" s="388"/>
      <c r="M99" s="657"/>
      <c r="N99" s="388"/>
      <c r="O99" s="388"/>
      <c r="P99" s="388"/>
      <c r="Q99" s="388"/>
      <c r="R99" s="388"/>
      <c r="S99" s="388"/>
      <c r="T99" s="388"/>
      <c r="U99" s="388"/>
      <c r="V99" s="388"/>
      <c r="W99" s="388"/>
      <c r="X99" s="388"/>
      <c r="Y99" s="388"/>
      <c r="Z99" s="388"/>
    </row>
    <row r="100" spans="3:49" x14ac:dyDescent="0.25">
      <c r="C100" s="388"/>
      <c r="D100" s="388"/>
      <c r="E100" s="388"/>
      <c r="F100" s="388"/>
      <c r="G100" s="388"/>
      <c r="H100" s="388"/>
      <c r="I100" s="388"/>
      <c r="J100" s="388"/>
      <c r="K100" s="388"/>
      <c r="L100" s="388"/>
      <c r="M100" s="657"/>
      <c r="N100" s="388"/>
      <c r="O100" s="388"/>
      <c r="P100" s="388"/>
      <c r="Q100" s="388"/>
      <c r="R100" s="388"/>
      <c r="S100" s="388"/>
      <c r="T100" s="388"/>
      <c r="U100" s="388"/>
      <c r="V100" s="388"/>
      <c r="W100" s="388"/>
      <c r="X100" s="388"/>
      <c r="Y100" s="388"/>
      <c r="Z100" s="388"/>
      <c r="AR100" t="s">
        <v>392</v>
      </c>
    </row>
    <row r="101" spans="3:49" ht="30" x14ac:dyDescent="0.25">
      <c r="C101" s="388"/>
      <c r="D101" s="388"/>
      <c r="E101" s="388"/>
      <c r="F101" s="388"/>
      <c r="G101" s="388"/>
      <c r="H101" s="388"/>
      <c r="I101" s="388"/>
      <c r="J101" s="388"/>
      <c r="K101" s="388"/>
      <c r="L101" s="388"/>
      <c r="M101" s="657"/>
      <c r="N101" s="388"/>
      <c r="O101" s="388"/>
      <c r="P101" s="388"/>
      <c r="Q101" s="388"/>
      <c r="R101" s="388"/>
      <c r="S101" s="388"/>
      <c r="T101" s="388"/>
      <c r="U101" s="388"/>
      <c r="V101" s="388"/>
      <c r="W101" s="388"/>
      <c r="X101" s="388"/>
      <c r="Y101" s="388"/>
      <c r="Z101" s="388"/>
      <c r="AS101" t="s">
        <v>393</v>
      </c>
      <c r="AT101" s="395" t="s">
        <v>425</v>
      </c>
    </row>
    <row r="102" spans="3:49" x14ac:dyDescent="0.25">
      <c r="C102" s="388"/>
      <c r="D102" s="388"/>
      <c r="E102" s="388"/>
      <c r="F102" s="388"/>
      <c r="G102" s="388"/>
      <c r="H102" s="388"/>
      <c r="I102" s="388"/>
      <c r="J102" s="388"/>
      <c r="K102" s="388"/>
      <c r="L102" s="388"/>
      <c r="M102" s="657"/>
      <c r="N102" s="388"/>
      <c r="O102" s="388"/>
      <c r="P102" s="388"/>
      <c r="Q102" s="388"/>
      <c r="R102" s="388"/>
      <c r="S102" s="388"/>
      <c r="T102" s="388"/>
      <c r="U102" s="388"/>
      <c r="V102" s="388"/>
      <c r="W102" s="388"/>
      <c r="X102" s="388"/>
      <c r="Y102" s="388"/>
      <c r="Z102" s="388"/>
      <c r="AR102" t="s">
        <v>395</v>
      </c>
      <c r="AS102" s="475" t="str">
        <f>FIXED(B30,0)&amp;" gal"</f>
        <v>8,000,039 gal</v>
      </c>
      <c r="AT102" s="475" t="e">
        <f>FIXED(#REF!,0)&amp;" gal"</f>
        <v>#REF!</v>
      </c>
    </row>
    <row r="103" spans="3:49" x14ac:dyDescent="0.25">
      <c r="C103" s="388"/>
      <c r="D103" s="388"/>
      <c r="E103" s="388"/>
      <c r="F103" s="388"/>
      <c r="G103" s="388"/>
      <c r="H103" s="388"/>
      <c r="I103" s="388"/>
      <c r="J103" s="388"/>
      <c r="K103" s="388"/>
      <c r="L103" s="388"/>
      <c r="M103" s="657"/>
      <c r="N103" s="388"/>
      <c r="O103" s="388"/>
      <c r="P103" s="388"/>
      <c r="Q103" s="388"/>
      <c r="R103" s="388"/>
      <c r="S103" s="388"/>
      <c r="T103" s="388"/>
      <c r="U103" s="388"/>
      <c r="V103" s="388"/>
      <c r="W103" s="388"/>
      <c r="X103" s="388"/>
      <c r="Y103" s="388"/>
      <c r="Z103" s="388"/>
      <c r="AR103" t="s">
        <v>426</v>
      </c>
      <c r="AS103" s="476">
        <f>B17</f>
        <v>81.972999999999999</v>
      </c>
      <c r="AT103" s="477">
        <f>N17</f>
        <v>0</v>
      </c>
    </row>
    <row r="104" spans="3:49" x14ac:dyDescent="0.25">
      <c r="C104" s="388"/>
      <c r="D104" s="388"/>
      <c r="E104" s="388"/>
      <c r="F104" s="388"/>
      <c r="G104" s="388"/>
      <c r="H104" s="388"/>
      <c r="I104" s="388"/>
      <c r="J104" s="388"/>
      <c r="K104" s="388"/>
      <c r="L104" s="388"/>
      <c r="M104" s="657"/>
      <c r="N104" s="388"/>
      <c r="O104" s="388"/>
      <c r="P104" s="388"/>
      <c r="Q104" s="388"/>
      <c r="R104" s="388"/>
      <c r="S104" s="388"/>
      <c r="T104" s="388"/>
      <c r="U104" s="388"/>
      <c r="V104" s="388"/>
      <c r="W104" s="388"/>
      <c r="X104" s="388"/>
      <c r="Y104" s="388"/>
      <c r="Z104" s="388"/>
      <c r="AR104" t="s">
        <v>427</v>
      </c>
      <c r="AS104" s="478">
        <f>B19</f>
        <v>0.13</v>
      </c>
      <c r="AT104" s="407">
        <f>N21</f>
        <v>0.13</v>
      </c>
    </row>
    <row r="105" spans="3:49" x14ac:dyDescent="0.25">
      <c r="C105" s="388"/>
      <c r="D105" s="388"/>
      <c r="E105" s="388"/>
      <c r="F105" s="388"/>
      <c r="G105" s="388"/>
      <c r="H105" s="388"/>
      <c r="I105" s="388"/>
      <c r="J105" s="388"/>
      <c r="K105" s="388"/>
      <c r="L105" s="388"/>
      <c r="M105" s="657"/>
      <c r="N105" s="388"/>
      <c r="O105" s="388"/>
      <c r="P105" s="388"/>
      <c r="Q105" s="388"/>
      <c r="R105" s="388"/>
      <c r="S105" s="388"/>
      <c r="T105" s="388"/>
      <c r="U105" s="388"/>
      <c r="V105" s="388"/>
      <c r="W105" s="388"/>
      <c r="X105" s="388"/>
      <c r="Y105" s="388"/>
      <c r="Z105" s="388"/>
      <c r="AR105" t="s">
        <v>428</v>
      </c>
      <c r="AS105" s="476">
        <f>B25</f>
        <v>10.65649</v>
      </c>
      <c r="AT105" s="477">
        <f>N25</f>
        <v>10.65649</v>
      </c>
    </row>
    <row r="106" spans="3:49" ht="30" x14ac:dyDescent="0.25">
      <c r="C106" s="388"/>
      <c r="D106" s="388"/>
      <c r="E106" s="388"/>
      <c r="F106" s="388"/>
      <c r="G106" s="388"/>
      <c r="H106" s="388"/>
      <c r="I106" s="388"/>
      <c r="J106" s="388"/>
      <c r="K106" s="388"/>
      <c r="L106" s="388"/>
      <c r="M106" s="657"/>
      <c r="N106" s="388"/>
      <c r="O106" s="388"/>
      <c r="P106" s="388"/>
      <c r="Q106" s="388"/>
      <c r="R106" s="388"/>
      <c r="S106" s="388"/>
      <c r="T106" s="388"/>
      <c r="U106" s="388"/>
      <c r="V106" s="388"/>
      <c r="W106" s="388"/>
      <c r="X106" s="388"/>
      <c r="Y106" s="388"/>
      <c r="Z106" s="388"/>
      <c r="AS106" s="475"/>
      <c r="AT106" s="395" t="s">
        <v>757</v>
      </c>
      <c r="AU106" s="395" t="s">
        <v>429</v>
      </c>
      <c r="AV106" s="395" t="s">
        <v>394</v>
      </c>
      <c r="AW106" s="395" t="s">
        <v>429</v>
      </c>
    </row>
    <row r="107" spans="3:49" x14ac:dyDescent="0.25">
      <c r="C107" s="388"/>
      <c r="D107" s="388"/>
      <c r="E107" s="388"/>
      <c r="F107" s="388"/>
      <c r="G107" s="388"/>
      <c r="H107" s="388"/>
      <c r="I107" s="388"/>
      <c r="J107" s="388"/>
      <c r="K107" s="388"/>
      <c r="L107" s="388"/>
      <c r="M107" s="657"/>
      <c r="N107" s="388"/>
      <c r="O107" s="388"/>
      <c r="P107" s="388"/>
      <c r="Q107" s="388"/>
      <c r="R107" s="388"/>
      <c r="S107" s="388"/>
      <c r="T107" s="388"/>
      <c r="U107" s="388"/>
      <c r="V107" s="388"/>
      <c r="W107" s="388"/>
      <c r="X107" s="388"/>
      <c r="Y107" s="388"/>
      <c r="Z107" s="388"/>
      <c r="AS107" s="475"/>
      <c r="AT107" s="475" t="str">
        <f>FIXED(N40,0)&amp;" gal"</f>
        <v>72 gal</v>
      </c>
      <c r="AV107" s="475" t="str">
        <f>FIXED(X40,0)&amp;" tons"</f>
        <v>2,465 tons</v>
      </c>
    </row>
    <row r="108" spans="3:49" x14ac:dyDescent="0.25">
      <c r="C108" s="388"/>
      <c r="D108" s="388"/>
      <c r="E108" s="388"/>
      <c r="F108" s="388"/>
      <c r="G108" s="388"/>
      <c r="H108" s="388"/>
      <c r="I108" s="388"/>
      <c r="J108" s="388"/>
      <c r="K108" s="388"/>
      <c r="L108" s="388"/>
      <c r="M108" s="657"/>
      <c r="N108" s="388"/>
      <c r="O108" s="388"/>
      <c r="P108" s="388"/>
      <c r="Q108" s="388"/>
      <c r="R108" s="388"/>
      <c r="S108" s="388"/>
      <c r="T108" s="388"/>
      <c r="U108" s="388"/>
      <c r="V108" s="388"/>
      <c r="W108" s="388"/>
      <c r="X108" s="388"/>
      <c r="Y108" s="388"/>
      <c r="Z108" s="388"/>
      <c r="AR108" t="s">
        <v>426</v>
      </c>
      <c r="AS108" s="476">
        <f>B17</f>
        <v>81.972999999999999</v>
      </c>
      <c r="AT108" s="476">
        <f>N39</f>
        <v>2.1611430992957747</v>
      </c>
      <c r="AV108" s="476" t="e">
        <f>#REF!</f>
        <v>#REF!</v>
      </c>
    </row>
    <row r="109" spans="3:49" x14ac:dyDescent="0.25">
      <c r="C109" s="388"/>
      <c r="D109" s="388"/>
      <c r="E109" s="388"/>
      <c r="F109" s="388"/>
      <c r="G109" s="388"/>
      <c r="H109" s="388"/>
      <c r="I109" s="388"/>
      <c r="J109" s="388"/>
      <c r="K109" s="388"/>
      <c r="L109" s="388"/>
      <c r="M109" s="657"/>
      <c r="N109" s="388"/>
      <c r="O109" s="388"/>
      <c r="P109" s="388"/>
      <c r="Q109" s="388"/>
      <c r="R109" s="388"/>
      <c r="S109" s="388"/>
      <c r="T109" s="388"/>
      <c r="U109" s="388"/>
      <c r="V109" s="388"/>
      <c r="W109" s="388"/>
      <c r="X109" s="388"/>
      <c r="Y109" s="388"/>
      <c r="Z109" s="388"/>
      <c r="AR109" t="s">
        <v>396</v>
      </c>
      <c r="AS109" t="s">
        <v>397</v>
      </c>
      <c r="AT109" t="s">
        <v>398</v>
      </c>
      <c r="AV109" s="479">
        <f>0.00053</f>
        <v>5.2999999999999998E-4</v>
      </c>
    </row>
    <row r="110" spans="3:49" x14ac:dyDescent="0.25">
      <c r="C110" s="388"/>
      <c r="D110" s="388"/>
      <c r="E110" s="388"/>
      <c r="F110" s="388"/>
      <c r="G110" s="388"/>
      <c r="H110" s="388"/>
      <c r="I110" s="388"/>
      <c r="J110" s="388"/>
      <c r="K110" s="388"/>
      <c r="L110" s="388"/>
      <c r="M110" s="657"/>
      <c r="N110" s="388"/>
      <c r="O110" s="388"/>
      <c r="P110" s="388"/>
      <c r="Q110" s="388"/>
      <c r="R110" s="388"/>
      <c r="S110" s="388"/>
      <c r="T110" s="388"/>
      <c r="U110" s="388"/>
      <c r="V110" s="388"/>
      <c r="W110" s="388"/>
      <c r="X110" s="388"/>
      <c r="Y110" s="388"/>
      <c r="Z110" s="388"/>
      <c r="AR110" t="s">
        <v>399</v>
      </c>
      <c r="AS110" t="s">
        <v>400</v>
      </c>
      <c r="AT110" t="s">
        <v>401</v>
      </c>
      <c r="AV110" s="479">
        <v>1.7000000000000001E-4</v>
      </c>
    </row>
    <row r="111" spans="3:49" x14ac:dyDescent="0.25">
      <c r="C111" s="388"/>
      <c r="D111" s="388"/>
      <c r="E111" s="388"/>
      <c r="F111" s="388"/>
      <c r="G111" s="388"/>
      <c r="H111" s="388"/>
      <c r="I111" s="388"/>
      <c r="J111" s="388"/>
      <c r="K111" s="388"/>
      <c r="L111" s="388"/>
      <c r="M111" s="657"/>
      <c r="N111" s="388"/>
      <c r="O111" s="388"/>
      <c r="P111" s="388"/>
      <c r="Q111" s="388"/>
      <c r="R111" s="388"/>
      <c r="S111" s="388"/>
      <c r="T111" s="388"/>
      <c r="U111" s="388"/>
      <c r="V111" s="388"/>
      <c r="W111" s="388"/>
      <c r="X111" s="388"/>
      <c r="Y111" s="388"/>
      <c r="Z111" s="388"/>
      <c r="AR111" t="s">
        <v>402</v>
      </c>
      <c r="AS111" t="s">
        <v>403</v>
      </c>
      <c r="AT111" t="s">
        <v>404</v>
      </c>
      <c r="AV111" s="479">
        <v>3.4000000000000002E-4</v>
      </c>
    </row>
    <row r="112" spans="3:49" x14ac:dyDescent="0.25">
      <c r="C112" s="388"/>
      <c r="D112" s="388"/>
      <c r="E112" s="388"/>
      <c r="F112" s="388"/>
      <c r="G112" s="388"/>
      <c r="H112" s="388"/>
      <c r="I112" s="388"/>
      <c r="J112" s="388"/>
      <c r="K112" s="388"/>
      <c r="L112" s="388"/>
      <c r="M112" s="657"/>
      <c r="N112" s="388"/>
      <c r="O112" s="388"/>
      <c r="P112" s="388"/>
      <c r="Q112" s="388"/>
      <c r="R112" s="388"/>
      <c r="S112" s="388"/>
      <c r="T112" s="388"/>
      <c r="U112" s="388"/>
      <c r="V112" s="388"/>
      <c r="W112" s="388"/>
      <c r="X112" s="388"/>
      <c r="Y112" s="388"/>
      <c r="Z112" s="388"/>
      <c r="AR112" t="s">
        <v>405</v>
      </c>
      <c r="AS112" s="396">
        <v>202763</v>
      </c>
      <c r="AT112" s="396">
        <v>263329</v>
      </c>
      <c r="AU112" s="389">
        <f>(AT112-AS112)/AS112</f>
        <v>0.29870341235827047</v>
      </c>
      <c r="AV112" s="396">
        <v>9285</v>
      </c>
      <c r="AW112" s="389">
        <f>(AV112+AT112-AS112)/AS112</f>
        <v>0.3444957906521407</v>
      </c>
    </row>
    <row r="113" spans="3:49" x14ac:dyDescent="0.25">
      <c r="C113" s="388"/>
      <c r="D113" s="388"/>
      <c r="E113" s="388"/>
      <c r="F113" s="388"/>
      <c r="G113" s="388"/>
      <c r="H113" s="388"/>
      <c r="I113" s="388"/>
      <c r="J113" s="388"/>
      <c r="K113" s="388"/>
      <c r="L113" s="388"/>
      <c r="M113" s="657"/>
      <c r="N113" s="388"/>
      <c r="O113" s="388"/>
      <c r="P113" s="388"/>
      <c r="Q113" s="388"/>
      <c r="R113" s="388"/>
      <c r="S113" s="388"/>
      <c r="T113" s="388"/>
      <c r="U113" s="388"/>
      <c r="V113" s="388"/>
      <c r="W113" s="388"/>
      <c r="X113" s="388"/>
      <c r="Y113" s="388"/>
      <c r="Z113" s="388"/>
      <c r="AR113" t="s">
        <v>406</v>
      </c>
      <c r="AS113" s="396">
        <v>104387</v>
      </c>
      <c r="AT113" s="396">
        <v>125655</v>
      </c>
      <c r="AU113" s="389">
        <f t="shared" ref="AU113:AU114" si="28">(AT113-AS113)/AS113</f>
        <v>0.20374184524892947</v>
      </c>
      <c r="AV113" s="396">
        <v>3001</v>
      </c>
      <c r="AW113" s="389">
        <f t="shared" ref="AW113:AW114" si="29">(AV113+AT113-AS113)/AS113</f>
        <v>0.23249063580714074</v>
      </c>
    </row>
    <row r="114" spans="3:49" x14ac:dyDescent="0.25">
      <c r="C114" s="388"/>
      <c r="D114" s="388"/>
      <c r="E114" s="388"/>
      <c r="F114" s="388"/>
      <c r="G114" s="388"/>
      <c r="H114" s="388"/>
      <c r="I114" s="388"/>
      <c r="J114" s="388"/>
      <c r="K114" s="388"/>
      <c r="L114" s="388"/>
      <c r="M114" s="657"/>
      <c r="N114" s="388"/>
      <c r="O114" s="388"/>
      <c r="P114" s="388"/>
      <c r="Q114" s="388"/>
      <c r="R114" s="388"/>
      <c r="S114" s="388"/>
      <c r="T114" s="388"/>
      <c r="U114" s="388"/>
      <c r="V114" s="388"/>
      <c r="W114" s="388"/>
      <c r="X114" s="388"/>
      <c r="Y114" s="388"/>
      <c r="Z114" s="388"/>
      <c r="AR114" t="s">
        <v>407</v>
      </c>
      <c r="AS114" s="396">
        <v>194938</v>
      </c>
      <c r="AT114" s="396">
        <v>249339</v>
      </c>
      <c r="AU114" s="389">
        <f t="shared" si="28"/>
        <v>0.27906821656116304</v>
      </c>
      <c r="AV114" s="396">
        <v>5956</v>
      </c>
      <c r="AW114" s="389">
        <f t="shared" si="29"/>
        <v>0.30962152068862919</v>
      </c>
    </row>
    <row r="115" spans="3:49" x14ac:dyDescent="0.25">
      <c r="C115" s="388"/>
      <c r="D115" s="388"/>
      <c r="E115" s="388"/>
      <c r="F115" s="388"/>
      <c r="G115" s="388"/>
      <c r="H115" s="388"/>
      <c r="I115" s="388"/>
      <c r="J115" s="388"/>
      <c r="K115" s="388"/>
      <c r="L115" s="388"/>
      <c r="M115" s="657"/>
      <c r="N115" s="388"/>
      <c r="O115" s="388"/>
      <c r="P115" s="388"/>
      <c r="Q115" s="388"/>
      <c r="R115" s="388"/>
      <c r="S115" s="388"/>
      <c r="T115" s="388"/>
      <c r="U115" s="388"/>
      <c r="V115" s="388"/>
      <c r="W115" s="388"/>
      <c r="X115" s="388"/>
      <c r="Y115" s="388"/>
      <c r="Z115" s="388"/>
    </row>
    <row r="116" spans="3:49" x14ac:dyDescent="0.25">
      <c r="C116" s="388"/>
      <c r="D116" s="388"/>
      <c r="E116" s="388"/>
      <c r="F116" s="388"/>
      <c r="G116" s="388"/>
      <c r="H116" s="388"/>
      <c r="I116" s="388"/>
      <c r="J116" s="388"/>
      <c r="K116" s="388"/>
      <c r="L116" s="388"/>
      <c r="M116" s="657"/>
      <c r="N116" s="388"/>
      <c r="O116" s="388"/>
      <c r="P116" s="388"/>
      <c r="Q116" s="388"/>
      <c r="R116" s="388"/>
      <c r="S116" s="388"/>
      <c r="T116" s="388"/>
      <c r="U116" s="388"/>
      <c r="V116" s="388"/>
      <c r="W116" s="388"/>
      <c r="X116" s="388"/>
      <c r="Y116" s="388"/>
      <c r="Z116" s="388"/>
      <c r="AR116" t="s">
        <v>408</v>
      </c>
      <c r="AS116">
        <v>142</v>
      </c>
      <c r="AT116">
        <v>142</v>
      </c>
    </row>
    <row r="117" spans="3:49" hidden="1" x14ac:dyDescent="0.25">
      <c r="C117" s="388"/>
      <c r="D117" s="388"/>
      <c r="E117" s="388"/>
      <c r="F117" s="388"/>
      <c r="G117" s="388"/>
      <c r="H117" s="388"/>
      <c r="I117" s="388"/>
      <c r="J117" s="388"/>
      <c r="K117" s="388"/>
      <c r="L117" s="388"/>
      <c r="M117" s="657"/>
      <c r="N117" s="388"/>
      <c r="O117" s="388"/>
      <c r="P117" s="388"/>
      <c r="Q117" s="388"/>
      <c r="R117" s="388"/>
      <c r="S117" s="388"/>
      <c r="T117" s="388"/>
      <c r="U117" s="388"/>
      <c r="V117" s="388"/>
      <c r="W117" s="388"/>
      <c r="X117" s="388"/>
      <c r="Y117" s="388"/>
      <c r="Z117" s="388"/>
      <c r="AR117" t="s">
        <v>410</v>
      </c>
      <c r="AS117">
        <v>30</v>
      </c>
      <c r="AT117">
        <v>30</v>
      </c>
      <c r="AU117" t="s">
        <v>409</v>
      </c>
    </row>
    <row r="118" spans="3:49" hidden="1" x14ac:dyDescent="0.25">
      <c r="C118" s="388"/>
      <c r="D118" s="388"/>
      <c r="E118" s="388"/>
      <c r="F118" s="388"/>
      <c r="G118" s="388"/>
      <c r="H118" s="388"/>
      <c r="I118" s="388"/>
      <c r="J118" s="388"/>
      <c r="K118" s="388"/>
      <c r="L118" s="388"/>
      <c r="M118" s="657"/>
      <c r="N118" s="388"/>
      <c r="O118" s="388"/>
      <c r="P118" s="388"/>
      <c r="Q118" s="388"/>
      <c r="R118" s="388"/>
      <c r="S118" s="388"/>
      <c r="T118" s="388"/>
      <c r="U118" s="388"/>
      <c r="V118" s="388"/>
      <c r="W118" s="388"/>
      <c r="X118" s="388"/>
      <c r="Y118" s="388"/>
      <c r="Z118" s="388"/>
      <c r="AR118" t="s">
        <v>411</v>
      </c>
      <c r="AS118">
        <v>149</v>
      </c>
      <c r="AT118">
        <v>149</v>
      </c>
      <c r="AU118" t="s">
        <v>409</v>
      </c>
    </row>
    <row r="119" spans="3:49" hidden="1" x14ac:dyDescent="0.25">
      <c r="C119" s="388"/>
      <c r="D119" s="388"/>
      <c r="E119" s="388"/>
      <c r="F119" s="388"/>
      <c r="G119" s="388"/>
      <c r="H119" s="388"/>
      <c r="I119" s="388"/>
      <c r="J119" s="388"/>
      <c r="K119" s="388"/>
      <c r="L119" s="388"/>
      <c r="M119" s="657"/>
      <c r="N119" s="388"/>
      <c r="O119" s="388"/>
      <c r="P119" s="388"/>
      <c r="Q119" s="388"/>
      <c r="R119" s="388"/>
      <c r="S119" s="388"/>
      <c r="T119" s="388"/>
      <c r="U119" s="388"/>
      <c r="V119" s="388"/>
      <c r="W119" s="388"/>
      <c r="X119" s="388"/>
      <c r="Y119" s="388"/>
      <c r="Z119" s="388"/>
    </row>
    <row r="120" spans="3:49" hidden="1" x14ac:dyDescent="0.25">
      <c r="C120" s="388"/>
      <c r="D120" s="388"/>
      <c r="E120" s="388"/>
      <c r="F120" s="388"/>
      <c r="G120" s="388"/>
      <c r="H120" s="388"/>
      <c r="I120" s="388"/>
      <c r="J120" s="388"/>
      <c r="K120" s="388"/>
      <c r="L120" s="388"/>
      <c r="M120" s="657"/>
      <c r="N120" s="388"/>
      <c r="O120" s="388"/>
      <c r="P120" s="388"/>
      <c r="Q120" s="388"/>
      <c r="R120" s="388"/>
      <c r="S120" s="388"/>
      <c r="T120" s="388"/>
      <c r="U120" s="388"/>
      <c r="V120" s="388"/>
      <c r="W120" s="388"/>
      <c r="X120" s="388"/>
      <c r="Y120" s="388"/>
      <c r="Z120" s="388"/>
      <c r="AR120" t="s">
        <v>412</v>
      </c>
      <c r="AS120" s="396">
        <v>5560</v>
      </c>
      <c r="AT120" s="396">
        <v>7539</v>
      </c>
      <c r="AU120" s="389">
        <f t="shared" ref="AU120:AU135" si="30">(AT120-AS120)/AS120</f>
        <v>0.35593525179856117</v>
      </c>
    </row>
    <row r="121" spans="3:49" x14ac:dyDescent="0.25">
      <c r="C121" s="388"/>
      <c r="D121" s="388"/>
      <c r="E121" s="388"/>
      <c r="F121" s="388"/>
      <c r="G121" s="388"/>
      <c r="H121" s="388"/>
      <c r="I121" s="388"/>
      <c r="J121" s="388"/>
      <c r="K121" s="388"/>
      <c r="L121" s="388"/>
      <c r="M121" s="657"/>
      <c r="N121" s="388"/>
      <c r="O121" s="388"/>
      <c r="P121" s="388"/>
      <c r="Q121" s="388"/>
      <c r="R121" s="388"/>
      <c r="S121" s="388"/>
      <c r="T121" s="388"/>
      <c r="U121" s="388"/>
      <c r="V121" s="388"/>
      <c r="W121" s="388"/>
      <c r="X121" s="388"/>
      <c r="Y121" s="388"/>
      <c r="Z121" s="388"/>
      <c r="AR121" t="s">
        <v>413</v>
      </c>
      <c r="AS121" s="396">
        <v>1428</v>
      </c>
      <c r="AT121" s="396">
        <v>1854</v>
      </c>
      <c r="AU121" s="389">
        <f t="shared" si="30"/>
        <v>0.29831932773109243</v>
      </c>
      <c r="AV121">
        <v>65</v>
      </c>
    </row>
    <row r="122" spans="3:49" x14ac:dyDescent="0.25">
      <c r="C122" s="388"/>
      <c r="D122" s="388"/>
      <c r="E122" s="388"/>
      <c r="F122" s="388"/>
      <c r="G122" s="388"/>
      <c r="H122" s="388"/>
      <c r="I122" s="388"/>
      <c r="J122" s="388"/>
      <c r="K122" s="388"/>
      <c r="L122" s="388"/>
      <c r="M122" s="657"/>
      <c r="N122" s="388"/>
      <c r="O122" s="388"/>
      <c r="P122" s="388"/>
      <c r="Q122" s="388"/>
      <c r="R122" s="388"/>
      <c r="S122" s="388"/>
      <c r="T122" s="388"/>
      <c r="U122" s="388"/>
      <c r="V122" s="388"/>
      <c r="W122" s="388"/>
      <c r="X122" s="388"/>
      <c r="Y122" s="388"/>
      <c r="Z122" s="388"/>
      <c r="AU122" s="389"/>
    </row>
    <row r="123" spans="3:49" x14ac:dyDescent="0.25">
      <c r="C123" s="388"/>
      <c r="D123" s="388"/>
      <c r="E123" s="388"/>
      <c r="F123" s="388"/>
      <c r="G123" s="388"/>
      <c r="H123" s="388"/>
      <c r="I123" s="388"/>
      <c r="J123" s="388"/>
      <c r="K123" s="388"/>
      <c r="L123" s="388"/>
      <c r="M123" s="657"/>
      <c r="N123" s="388"/>
      <c r="O123" s="388"/>
      <c r="P123" s="388"/>
      <c r="Q123" s="388"/>
      <c r="R123" s="388"/>
      <c r="S123" s="388"/>
      <c r="T123" s="388"/>
      <c r="U123" s="388"/>
      <c r="V123" s="388"/>
      <c r="W123" s="388"/>
      <c r="X123" s="388"/>
      <c r="Y123" s="388"/>
      <c r="Z123" s="388"/>
      <c r="AR123" t="s">
        <v>414</v>
      </c>
      <c r="AS123">
        <v>142</v>
      </c>
      <c r="AT123">
        <v>142</v>
      </c>
      <c r="AU123" s="407">
        <f t="shared" si="30"/>
        <v>0</v>
      </c>
      <c r="AV123">
        <v>142</v>
      </c>
    </row>
    <row r="124" spans="3:49" x14ac:dyDescent="0.25">
      <c r="C124" s="388"/>
      <c r="D124" s="388"/>
      <c r="E124" s="388"/>
      <c r="F124" s="388"/>
      <c r="G124" s="388"/>
      <c r="H124" s="388"/>
      <c r="I124" s="388"/>
      <c r="J124" s="388"/>
      <c r="K124" s="388"/>
      <c r="L124" s="388"/>
      <c r="M124" s="657"/>
      <c r="N124" s="388"/>
      <c r="O124" s="388"/>
      <c r="P124" s="388"/>
      <c r="Q124" s="388"/>
      <c r="R124" s="388"/>
      <c r="S124" s="388"/>
      <c r="T124" s="388"/>
      <c r="U124" s="388"/>
      <c r="V124" s="388"/>
      <c r="W124" s="388"/>
      <c r="X124" s="388"/>
      <c r="Y124" s="388"/>
      <c r="Z124" s="388"/>
      <c r="AR124" t="s">
        <v>415</v>
      </c>
      <c r="AS124">
        <v>73</v>
      </c>
      <c r="AT124">
        <v>68</v>
      </c>
      <c r="AU124" s="407">
        <f t="shared" si="30"/>
        <v>-6.8493150684931503E-2</v>
      </c>
      <c r="AV124">
        <v>46</v>
      </c>
    </row>
    <row r="125" spans="3:49" x14ac:dyDescent="0.25">
      <c r="C125" s="388"/>
      <c r="D125" s="388"/>
      <c r="E125" s="388"/>
      <c r="F125" s="388"/>
      <c r="G125" s="388"/>
      <c r="H125" s="388"/>
      <c r="I125" s="388"/>
      <c r="J125" s="388"/>
      <c r="K125" s="388"/>
      <c r="L125" s="388"/>
      <c r="M125" s="657"/>
      <c r="N125" s="388"/>
      <c r="O125" s="388"/>
      <c r="P125" s="388"/>
      <c r="Q125" s="388"/>
      <c r="R125" s="388"/>
      <c r="S125" s="388"/>
      <c r="T125" s="388"/>
      <c r="U125" s="388"/>
      <c r="V125" s="388"/>
      <c r="W125" s="388"/>
      <c r="X125" s="388"/>
      <c r="Y125" s="388"/>
      <c r="Z125" s="388"/>
      <c r="AR125" t="s">
        <v>416</v>
      </c>
      <c r="AS125">
        <v>137</v>
      </c>
      <c r="AT125">
        <v>134</v>
      </c>
      <c r="AU125" s="407">
        <f t="shared" si="30"/>
        <v>-2.1897810218978103E-2</v>
      </c>
      <c r="AV125">
        <v>91</v>
      </c>
    </row>
    <row r="126" spans="3:49" x14ac:dyDescent="0.25">
      <c r="C126" s="388"/>
      <c r="D126" s="388"/>
      <c r="E126" s="388"/>
      <c r="F126" s="388"/>
      <c r="G126" s="388"/>
      <c r="H126" s="388"/>
      <c r="I126" s="388"/>
      <c r="J126" s="388"/>
      <c r="K126" s="388"/>
      <c r="L126" s="388"/>
      <c r="M126" s="657"/>
      <c r="N126" s="388"/>
      <c r="O126" s="388"/>
      <c r="P126" s="388"/>
      <c r="Q126" s="388"/>
      <c r="R126" s="388"/>
      <c r="S126" s="388"/>
      <c r="T126" s="388"/>
      <c r="U126" s="388"/>
      <c r="V126" s="388"/>
      <c r="W126" s="388"/>
      <c r="X126" s="388"/>
      <c r="Y126" s="388"/>
      <c r="Z126" s="388"/>
      <c r="AU126" s="407"/>
    </row>
    <row r="127" spans="3:49" x14ac:dyDescent="0.25">
      <c r="C127" s="388"/>
      <c r="D127" s="388"/>
      <c r="E127" s="388"/>
      <c r="F127" s="388"/>
      <c r="G127" s="388"/>
      <c r="H127" s="388"/>
      <c r="I127" s="388"/>
      <c r="J127" s="388"/>
      <c r="K127" s="388"/>
      <c r="L127" s="388"/>
      <c r="M127" s="657"/>
      <c r="N127" s="388"/>
      <c r="O127" s="388"/>
      <c r="P127" s="388"/>
      <c r="Q127" s="388"/>
      <c r="R127" s="388"/>
      <c r="S127" s="388"/>
      <c r="T127" s="388"/>
      <c r="U127" s="388"/>
      <c r="V127" s="388"/>
      <c r="W127" s="388"/>
      <c r="X127" s="388"/>
      <c r="Y127" s="388"/>
      <c r="Z127" s="388"/>
      <c r="AR127" t="s">
        <v>417</v>
      </c>
      <c r="AS127" s="386">
        <v>126</v>
      </c>
      <c r="AT127" s="386">
        <v>126</v>
      </c>
      <c r="AU127" s="407">
        <f t="shared" si="30"/>
        <v>0</v>
      </c>
      <c r="AV127" s="386">
        <v>126.38</v>
      </c>
    </row>
    <row r="128" spans="3:49" x14ac:dyDescent="0.25">
      <c r="C128" s="388"/>
      <c r="D128" s="388"/>
      <c r="E128" s="388"/>
      <c r="F128" s="388"/>
      <c r="G128" s="388"/>
      <c r="H128" s="388"/>
      <c r="I128" s="388"/>
      <c r="J128" s="388"/>
      <c r="K128" s="388"/>
      <c r="L128" s="388"/>
      <c r="M128" s="657"/>
      <c r="N128" s="388"/>
      <c r="O128" s="388"/>
      <c r="P128" s="388"/>
      <c r="Q128" s="388"/>
      <c r="R128" s="388"/>
      <c r="S128" s="388"/>
      <c r="T128" s="388"/>
      <c r="U128" s="388"/>
      <c r="V128" s="388"/>
      <c r="W128" s="388"/>
      <c r="X128" s="388"/>
      <c r="Y128" s="388"/>
      <c r="Z128" s="388"/>
      <c r="AR128" t="s">
        <v>418</v>
      </c>
      <c r="AS128" s="386">
        <v>24</v>
      </c>
      <c r="AT128" s="386">
        <v>24</v>
      </c>
      <c r="AU128" s="407">
        <f t="shared" si="30"/>
        <v>0</v>
      </c>
      <c r="AV128" s="386">
        <v>36.26</v>
      </c>
    </row>
    <row r="129" spans="3:49" x14ac:dyDescent="0.25">
      <c r="C129" s="388"/>
      <c r="D129" s="388"/>
      <c r="E129" s="388"/>
      <c r="F129" s="388"/>
      <c r="G129" s="388"/>
      <c r="H129" s="388"/>
      <c r="I129" s="388"/>
      <c r="J129" s="388"/>
      <c r="K129" s="388"/>
      <c r="L129" s="388"/>
      <c r="M129" s="657"/>
      <c r="N129" s="388"/>
      <c r="O129" s="388"/>
      <c r="P129" s="388"/>
      <c r="Q129" s="388"/>
      <c r="R129" s="388"/>
      <c r="S129" s="388"/>
      <c r="T129" s="388"/>
      <c r="U129" s="388"/>
      <c r="V129" s="388"/>
      <c r="W129" s="388"/>
      <c r="X129" s="388"/>
      <c r="Y129" s="388"/>
      <c r="Z129" s="388"/>
      <c r="AR129" t="s">
        <v>419</v>
      </c>
      <c r="AS129" s="386">
        <v>100</v>
      </c>
      <c r="AT129" s="386">
        <v>99</v>
      </c>
      <c r="AU129" s="407">
        <f t="shared" si="30"/>
        <v>-0.01</v>
      </c>
      <c r="AV129" s="386">
        <v>66.489999999999995</v>
      </c>
    </row>
    <row r="130" spans="3:49" x14ac:dyDescent="0.25">
      <c r="C130" s="388"/>
      <c r="D130" s="388"/>
      <c r="E130" s="388"/>
      <c r="F130" s="388"/>
      <c r="G130" s="388"/>
      <c r="H130" s="388"/>
      <c r="I130" s="388"/>
      <c r="J130" s="388"/>
      <c r="K130" s="388"/>
      <c r="L130" s="388"/>
      <c r="M130" s="657"/>
      <c r="N130" s="388"/>
      <c r="O130" s="388"/>
      <c r="P130" s="388"/>
      <c r="Q130" s="388"/>
      <c r="R130" s="388"/>
      <c r="S130" s="388"/>
      <c r="T130" s="388"/>
      <c r="U130" s="388"/>
      <c r="V130" s="388"/>
      <c r="W130" s="388"/>
      <c r="X130" s="388"/>
      <c r="Y130" s="388"/>
      <c r="Z130" s="388"/>
      <c r="AU130" s="407"/>
      <c r="AV130" s="386"/>
    </row>
    <row r="131" spans="3:49" x14ac:dyDescent="0.25">
      <c r="C131" s="388"/>
      <c r="D131" s="388"/>
      <c r="E131" s="388"/>
      <c r="F131" s="388"/>
      <c r="G131" s="388"/>
      <c r="H131" s="388"/>
      <c r="I131" s="388"/>
      <c r="J131" s="388"/>
      <c r="K131" s="388"/>
      <c r="L131" s="388"/>
      <c r="M131" s="657"/>
      <c r="N131" s="388"/>
      <c r="O131" s="388"/>
      <c r="P131" s="388"/>
      <c r="Q131" s="388"/>
      <c r="R131" s="388"/>
      <c r="S131" s="388"/>
      <c r="T131" s="388"/>
      <c r="U131" s="388"/>
      <c r="V131" s="388"/>
      <c r="W131" s="388"/>
      <c r="X131" s="388"/>
      <c r="Y131" s="388"/>
      <c r="Z131" s="388"/>
      <c r="AR131" t="s">
        <v>420</v>
      </c>
      <c r="AS131" s="386">
        <v>250</v>
      </c>
      <c r="AT131" s="386">
        <v>248</v>
      </c>
      <c r="AU131" s="407">
        <f t="shared" si="30"/>
        <v>-8.0000000000000002E-3</v>
      </c>
      <c r="AV131" s="386">
        <v>229.13</v>
      </c>
    </row>
    <row r="132" spans="3:49" x14ac:dyDescent="0.25">
      <c r="C132" s="388"/>
      <c r="D132" s="388"/>
      <c r="E132" s="388"/>
      <c r="F132" s="388"/>
      <c r="G132" s="388"/>
      <c r="H132" s="388"/>
      <c r="I132" s="388"/>
      <c r="J132" s="388"/>
      <c r="K132" s="388"/>
      <c r="L132" s="388"/>
      <c r="M132" s="657"/>
      <c r="N132" s="388"/>
      <c r="O132" s="388"/>
      <c r="P132" s="388"/>
      <c r="Q132" s="388"/>
      <c r="R132" s="388"/>
      <c r="S132" s="388"/>
      <c r="T132" s="388"/>
      <c r="U132" s="388"/>
      <c r="V132" s="388"/>
      <c r="W132" s="388"/>
      <c r="X132" s="388"/>
      <c r="Y132" s="388"/>
      <c r="Z132" s="388"/>
      <c r="AR132" t="s">
        <v>421</v>
      </c>
      <c r="AS132" s="386">
        <v>71</v>
      </c>
      <c r="AT132" s="386">
        <v>96</v>
      </c>
      <c r="AU132" s="389">
        <f t="shared" si="30"/>
        <v>0.352112676056338</v>
      </c>
      <c r="AV132" s="386">
        <v>63</v>
      </c>
    </row>
    <row r="133" spans="3:49" x14ac:dyDescent="0.25">
      <c r="C133" s="388"/>
      <c r="D133" s="388"/>
      <c r="E133" s="388"/>
      <c r="F133" s="388"/>
      <c r="G133" s="388"/>
      <c r="H133" s="388"/>
      <c r="I133" s="388"/>
      <c r="J133" s="388"/>
      <c r="K133" s="388"/>
      <c r="L133" s="388"/>
      <c r="M133" s="657"/>
      <c r="N133" s="388"/>
      <c r="O133" s="388"/>
      <c r="P133" s="388"/>
      <c r="Q133" s="388"/>
      <c r="R133" s="388"/>
      <c r="S133" s="388"/>
      <c r="T133" s="388"/>
      <c r="U133" s="388"/>
      <c r="V133" s="388"/>
      <c r="W133" s="388"/>
      <c r="X133" s="388"/>
      <c r="Y133" s="388"/>
      <c r="Z133" s="388"/>
      <c r="AR133" t="s">
        <v>422</v>
      </c>
      <c r="AS133" s="386">
        <v>356605</v>
      </c>
      <c r="AT133" s="386">
        <v>460331</v>
      </c>
      <c r="AU133" s="389">
        <f t="shared" si="30"/>
        <v>0.29087085150236258</v>
      </c>
      <c r="AV133" s="386">
        <v>14982</v>
      </c>
      <c r="AW133" s="389">
        <f t="shared" ref="AW133:AW135" si="31">(AV133+AT133-AS133)/AS133</f>
        <v>0.33288372288666734</v>
      </c>
    </row>
    <row r="134" spans="3:49" x14ac:dyDescent="0.25">
      <c r="C134" s="388"/>
      <c r="D134" s="388"/>
      <c r="E134" s="388"/>
      <c r="F134" s="388"/>
      <c r="G134" s="388"/>
      <c r="H134" s="388"/>
      <c r="I134" s="388"/>
      <c r="J134" s="388"/>
      <c r="K134" s="388"/>
      <c r="L134" s="388"/>
      <c r="M134" s="657"/>
      <c r="N134" s="388"/>
      <c r="O134" s="388"/>
      <c r="P134" s="388"/>
      <c r="Q134" s="388"/>
      <c r="R134" s="388"/>
      <c r="S134" s="388"/>
      <c r="T134" s="388"/>
      <c r="U134" s="388"/>
      <c r="V134" s="388"/>
      <c r="W134" s="388"/>
      <c r="X134" s="388"/>
      <c r="Y134" s="388"/>
      <c r="Z134" s="388"/>
      <c r="AR134" t="s">
        <v>423</v>
      </c>
      <c r="AS134" s="388">
        <v>-100826</v>
      </c>
      <c r="AT134" s="388">
        <v>-177541</v>
      </c>
      <c r="AU134" s="389">
        <f t="shared" si="30"/>
        <v>0.7608652530101363</v>
      </c>
      <c r="AV134" s="388">
        <v>-4110</v>
      </c>
      <c r="AW134" s="389">
        <f t="shared" si="31"/>
        <v>0.80162854819193463</v>
      </c>
    </row>
    <row r="135" spans="3:49" x14ac:dyDescent="0.25">
      <c r="C135" s="388"/>
      <c r="D135" s="388"/>
      <c r="E135" s="388"/>
      <c r="F135" s="388"/>
      <c r="G135" s="388"/>
      <c r="H135" s="388"/>
      <c r="I135" s="388"/>
      <c r="J135" s="388"/>
      <c r="K135" s="388"/>
      <c r="L135" s="388"/>
      <c r="M135" s="657"/>
      <c r="N135" s="388"/>
      <c r="O135" s="388"/>
      <c r="P135" s="388"/>
      <c r="Q135" s="388"/>
      <c r="R135" s="388"/>
      <c r="S135" s="388"/>
      <c r="T135" s="388"/>
      <c r="U135" s="388"/>
      <c r="V135" s="388"/>
      <c r="W135" s="388"/>
      <c r="X135" s="388"/>
      <c r="Y135" s="388"/>
      <c r="Z135" s="388"/>
      <c r="AR135" t="s">
        <v>424</v>
      </c>
      <c r="AS135" s="386">
        <v>255779</v>
      </c>
      <c r="AT135" s="386">
        <v>282789</v>
      </c>
      <c r="AU135" s="389">
        <f t="shared" si="30"/>
        <v>0.10559897411437218</v>
      </c>
      <c r="AV135" s="386">
        <v>10872</v>
      </c>
      <c r="AW135" s="389">
        <f t="shared" si="31"/>
        <v>0.14810441826733234</v>
      </c>
    </row>
    <row r="136" spans="3:49" x14ac:dyDescent="0.25">
      <c r="C136" s="388"/>
      <c r="D136" s="388"/>
      <c r="E136" s="388"/>
      <c r="F136" s="388"/>
      <c r="G136" s="388"/>
      <c r="H136" s="388"/>
      <c r="I136" s="388"/>
      <c r="J136" s="388"/>
      <c r="K136" s="388"/>
      <c r="L136" s="388"/>
      <c r="M136" s="657"/>
      <c r="N136" s="388"/>
      <c r="O136" s="388"/>
      <c r="P136" s="388"/>
      <c r="Q136" s="388"/>
      <c r="R136" s="388"/>
      <c r="S136" s="388"/>
      <c r="T136" s="388"/>
      <c r="U136" s="388"/>
      <c r="V136" s="388"/>
      <c r="W136" s="388"/>
      <c r="X136" s="388"/>
      <c r="Y136" s="388"/>
      <c r="Z136" s="388"/>
    </row>
    <row r="137" spans="3:49" x14ac:dyDescent="0.25">
      <c r="C137" s="388"/>
      <c r="D137" s="388"/>
      <c r="E137" s="388"/>
      <c r="F137" s="388"/>
      <c r="G137" s="388"/>
      <c r="H137" s="388"/>
      <c r="I137" s="388"/>
      <c r="J137" s="388"/>
      <c r="K137" s="388"/>
      <c r="L137" s="388"/>
      <c r="M137" s="657"/>
      <c r="N137" s="388"/>
      <c r="O137" s="388"/>
      <c r="P137" s="388"/>
      <c r="Q137" s="388"/>
      <c r="R137" s="388"/>
      <c r="S137" s="388"/>
      <c r="T137" s="388"/>
      <c r="U137" s="388"/>
      <c r="V137" s="388"/>
      <c r="W137" s="388"/>
      <c r="X137" s="388"/>
      <c r="Y137" s="388"/>
      <c r="Z137" s="388"/>
    </row>
    <row r="138" spans="3:49" x14ac:dyDescent="0.25">
      <c r="C138" s="388"/>
      <c r="D138" s="388"/>
      <c r="E138" s="388"/>
      <c r="F138" s="388"/>
      <c r="G138" s="388"/>
      <c r="H138" s="388"/>
      <c r="I138" s="388"/>
      <c r="J138" s="388"/>
      <c r="K138" s="388"/>
      <c r="L138" s="388"/>
      <c r="M138" s="657"/>
      <c r="N138" s="388"/>
      <c r="O138" s="388"/>
      <c r="P138" s="388"/>
      <c r="Q138" s="388"/>
      <c r="R138" s="388"/>
      <c r="S138" s="388"/>
      <c r="T138" s="388"/>
      <c r="U138" s="388"/>
      <c r="V138" s="388"/>
      <c r="W138" s="388"/>
      <c r="X138" s="388"/>
      <c r="Y138" s="388"/>
      <c r="Z138" s="388"/>
    </row>
    <row r="139" spans="3:49" x14ac:dyDescent="0.25">
      <c r="C139" s="388"/>
      <c r="D139" s="388"/>
      <c r="E139" s="388"/>
      <c r="F139" s="388"/>
      <c r="G139" s="388"/>
      <c r="H139" s="388"/>
      <c r="I139" s="388"/>
      <c r="J139" s="388"/>
      <c r="K139" s="388"/>
      <c r="L139" s="388"/>
      <c r="M139" s="657"/>
      <c r="N139" s="388"/>
      <c r="O139" s="388"/>
      <c r="P139" s="388"/>
      <c r="Q139" s="388"/>
      <c r="R139" s="388"/>
      <c r="S139" s="388"/>
      <c r="T139" s="388"/>
      <c r="U139" s="388"/>
      <c r="V139" s="388"/>
      <c r="W139" s="388"/>
      <c r="X139" s="388"/>
      <c r="Y139" s="388"/>
      <c r="Z139" s="388"/>
    </row>
    <row r="140" spans="3:49" x14ac:dyDescent="0.25">
      <c r="C140" s="388"/>
      <c r="D140" s="388"/>
      <c r="E140" s="388"/>
      <c r="F140" s="388"/>
      <c r="G140" s="388"/>
      <c r="H140" s="388"/>
      <c r="I140" s="388"/>
      <c r="J140" s="388"/>
      <c r="K140" s="388"/>
      <c r="L140" s="388"/>
      <c r="M140" s="657"/>
      <c r="N140" s="388"/>
      <c r="O140" s="388"/>
      <c r="P140" s="388"/>
      <c r="Q140" s="388"/>
      <c r="R140" s="388"/>
      <c r="S140" s="388"/>
      <c r="T140" s="388"/>
      <c r="U140" s="388"/>
      <c r="V140" s="388"/>
      <c r="W140" s="388"/>
      <c r="X140" s="388"/>
      <c r="Y140" s="388"/>
      <c r="Z140" s="388"/>
    </row>
    <row r="141" spans="3:49" x14ac:dyDescent="0.25">
      <c r="C141" s="388"/>
      <c r="D141" s="388"/>
      <c r="E141" s="388"/>
      <c r="F141" s="388"/>
      <c r="G141" s="388"/>
      <c r="H141" s="388"/>
      <c r="I141" s="388"/>
      <c r="J141" s="388"/>
      <c r="K141" s="388"/>
      <c r="L141" s="388"/>
      <c r="M141" s="657"/>
      <c r="N141" s="388"/>
      <c r="O141" s="388"/>
      <c r="P141" s="388"/>
      <c r="Q141" s="388"/>
      <c r="R141" s="388"/>
      <c r="S141" s="388"/>
      <c r="T141" s="388"/>
      <c r="U141" s="388"/>
      <c r="V141" s="388"/>
      <c r="W141" s="388"/>
      <c r="X141" s="388"/>
      <c r="Y141" s="388"/>
      <c r="Z141" s="388"/>
    </row>
    <row r="142" spans="3:49" x14ac:dyDescent="0.25">
      <c r="C142" s="388"/>
      <c r="D142" s="388"/>
      <c r="E142" s="388"/>
      <c r="F142" s="388"/>
      <c r="G142" s="388"/>
      <c r="H142" s="388"/>
      <c r="I142" s="388"/>
      <c r="J142" s="388"/>
      <c r="K142" s="388"/>
      <c r="L142" s="388"/>
      <c r="M142" s="657"/>
      <c r="N142" s="388"/>
      <c r="O142" s="388"/>
      <c r="P142" s="388"/>
      <c r="Q142" s="388"/>
      <c r="R142" s="388"/>
      <c r="S142" s="388"/>
      <c r="T142" s="388"/>
      <c r="U142" s="388"/>
      <c r="V142" s="388"/>
      <c r="W142" s="388"/>
      <c r="X142" s="388"/>
      <c r="Y142" s="388"/>
      <c r="Z142" s="388"/>
    </row>
    <row r="143" spans="3:49" x14ac:dyDescent="0.25">
      <c r="C143" s="388"/>
      <c r="D143" s="388"/>
      <c r="E143" s="388"/>
      <c r="F143" s="388"/>
      <c r="G143" s="388"/>
      <c r="H143" s="388"/>
      <c r="I143" s="388"/>
      <c r="J143" s="388"/>
      <c r="K143" s="388"/>
      <c r="L143" s="388"/>
      <c r="M143" s="657"/>
      <c r="N143" s="388"/>
      <c r="O143" s="388"/>
      <c r="P143" s="388"/>
      <c r="Q143" s="388"/>
      <c r="R143" s="388"/>
      <c r="S143" s="388"/>
      <c r="T143" s="388"/>
      <c r="U143" s="388"/>
      <c r="V143" s="388"/>
      <c r="W143" s="388"/>
      <c r="X143" s="388"/>
      <c r="Y143" s="388"/>
      <c r="Z143" s="388"/>
    </row>
    <row r="144" spans="3:49" x14ac:dyDescent="0.25">
      <c r="C144" s="388"/>
      <c r="D144" s="388"/>
      <c r="E144" s="388"/>
      <c r="F144" s="388"/>
      <c r="G144" s="388"/>
      <c r="H144" s="388"/>
      <c r="I144" s="388"/>
      <c r="J144" s="388"/>
      <c r="K144" s="388"/>
      <c r="L144" s="388"/>
      <c r="M144" s="657"/>
      <c r="N144" s="388"/>
      <c r="O144" s="388"/>
      <c r="P144" s="388"/>
      <c r="Q144" s="388"/>
      <c r="R144" s="388"/>
      <c r="S144" s="388"/>
      <c r="T144" s="388"/>
      <c r="U144" s="388"/>
      <c r="V144" s="388"/>
      <c r="W144" s="388"/>
      <c r="X144" s="388"/>
      <c r="Y144" s="388"/>
      <c r="Z144" s="388"/>
    </row>
    <row r="145" spans="1:26" x14ac:dyDescent="0.25">
      <c r="C145" s="388"/>
      <c r="D145" s="388"/>
      <c r="E145" s="388"/>
      <c r="F145" s="388"/>
      <c r="G145" s="388"/>
      <c r="H145" s="388"/>
      <c r="I145" s="388"/>
      <c r="J145" s="388"/>
      <c r="K145" s="388"/>
      <c r="L145" s="388"/>
      <c r="M145" s="657"/>
      <c r="N145" s="388"/>
      <c r="O145" s="388"/>
      <c r="P145" s="388"/>
      <c r="Q145" s="388"/>
      <c r="R145" s="388"/>
      <c r="S145" s="388"/>
      <c r="T145" s="388"/>
      <c r="U145" s="388"/>
      <c r="V145" s="388"/>
      <c r="W145" s="388"/>
      <c r="X145" s="388"/>
      <c r="Y145" s="388"/>
      <c r="Z145" s="388"/>
    </row>
    <row r="146" spans="1:26" x14ac:dyDescent="0.25">
      <c r="C146" s="388"/>
      <c r="D146" s="388"/>
      <c r="E146" s="388"/>
      <c r="F146" s="388"/>
      <c r="G146" s="388"/>
      <c r="H146" s="388"/>
      <c r="I146" s="388"/>
      <c r="J146" s="388"/>
      <c r="K146" s="388"/>
      <c r="L146" s="388"/>
      <c r="M146" s="657"/>
      <c r="N146" s="388"/>
      <c r="O146" s="388"/>
      <c r="P146" s="388"/>
      <c r="Q146" s="388"/>
      <c r="R146" s="388"/>
      <c r="S146" s="388"/>
      <c r="T146" s="388"/>
      <c r="U146" s="388"/>
      <c r="V146" s="388"/>
      <c r="W146" s="388"/>
      <c r="X146" s="388"/>
      <c r="Y146" s="388"/>
      <c r="Z146" s="388"/>
    </row>
    <row r="147" spans="1:26" x14ac:dyDescent="0.25">
      <c r="C147" s="388"/>
      <c r="D147" s="388"/>
      <c r="E147" s="388"/>
      <c r="F147" s="388"/>
      <c r="G147" s="388"/>
      <c r="H147" s="388"/>
      <c r="I147" s="388"/>
      <c r="J147" s="388"/>
      <c r="K147" s="388"/>
      <c r="L147" s="388"/>
      <c r="M147" s="657"/>
      <c r="N147" s="388"/>
      <c r="O147" s="388"/>
      <c r="P147" s="388"/>
      <c r="Q147" s="388"/>
      <c r="R147" s="388"/>
      <c r="S147" s="388"/>
      <c r="T147" s="388"/>
      <c r="U147" s="388"/>
      <c r="V147" s="388"/>
      <c r="W147" s="388"/>
      <c r="X147" s="388"/>
      <c r="Y147" s="388"/>
      <c r="Z147" s="388"/>
    </row>
    <row r="148" spans="1:26" x14ac:dyDescent="0.25">
      <c r="C148" s="388"/>
      <c r="D148" s="388"/>
      <c r="E148" s="388"/>
      <c r="F148" s="388"/>
      <c r="G148" s="388"/>
      <c r="H148" s="388"/>
      <c r="I148" s="388"/>
      <c r="J148" s="388"/>
      <c r="K148" s="388"/>
      <c r="L148" s="388"/>
      <c r="M148" s="657"/>
      <c r="N148" s="388"/>
      <c r="O148" s="388"/>
      <c r="P148" s="388"/>
      <c r="Q148" s="388"/>
      <c r="R148" s="388"/>
      <c r="S148" s="388"/>
      <c r="T148" s="388"/>
      <c r="U148" s="388"/>
      <c r="V148" s="388"/>
      <c r="W148" s="388"/>
      <c r="X148" s="388"/>
      <c r="Y148" s="388"/>
      <c r="Z148" s="388"/>
    </row>
    <row r="149" spans="1:26" x14ac:dyDescent="0.25">
      <c r="C149" s="388"/>
      <c r="D149" s="388"/>
      <c r="E149" s="388"/>
      <c r="F149" s="388"/>
      <c r="G149" s="388"/>
      <c r="H149" s="388"/>
      <c r="I149" s="388"/>
      <c r="J149" s="388"/>
      <c r="K149" s="388"/>
      <c r="L149" s="388"/>
      <c r="M149" s="657"/>
      <c r="N149" s="388"/>
      <c r="O149" s="388"/>
      <c r="P149" s="388"/>
      <c r="Q149" s="388"/>
      <c r="R149" s="388"/>
      <c r="S149" s="388"/>
      <c r="T149" s="388"/>
      <c r="U149" s="388"/>
      <c r="V149" s="388"/>
      <c r="W149" s="388"/>
      <c r="X149" s="388"/>
      <c r="Y149" s="388"/>
      <c r="Z149" s="388"/>
    </row>
    <row r="150" spans="1:26" x14ac:dyDescent="0.25">
      <c r="C150" s="388"/>
      <c r="D150" s="388"/>
      <c r="E150" s="388"/>
      <c r="F150" s="388"/>
      <c r="G150" s="388"/>
      <c r="H150" s="388"/>
      <c r="I150" s="388"/>
      <c r="J150" s="388"/>
      <c r="K150" s="388"/>
      <c r="L150" s="388"/>
      <c r="M150" s="657"/>
      <c r="N150" s="388"/>
      <c r="O150" s="388"/>
      <c r="P150" s="388"/>
      <c r="Q150" s="388"/>
      <c r="R150" s="388"/>
      <c r="S150" s="388"/>
      <c r="T150" s="388"/>
      <c r="U150" s="388"/>
      <c r="V150" s="388"/>
      <c r="W150" s="388"/>
      <c r="X150" s="388"/>
      <c r="Y150" s="388"/>
      <c r="Z150" s="388"/>
    </row>
    <row r="151" spans="1:26" x14ac:dyDescent="0.25">
      <c r="C151" s="388"/>
      <c r="D151" s="388"/>
      <c r="E151" s="388"/>
      <c r="F151" s="388"/>
      <c r="G151" s="388"/>
      <c r="H151" s="388"/>
      <c r="I151" s="388"/>
      <c r="J151" s="388"/>
      <c r="K151" s="388"/>
      <c r="L151" s="388"/>
      <c r="M151" s="657"/>
      <c r="N151" s="388"/>
      <c r="O151" s="388"/>
      <c r="P151" s="388"/>
      <c r="Q151" s="388"/>
      <c r="R151" s="388"/>
      <c r="S151" s="388"/>
      <c r="T151" s="388"/>
      <c r="U151" s="388"/>
      <c r="V151" s="388"/>
      <c r="W151" s="388"/>
      <c r="X151" s="388"/>
      <c r="Y151" s="388"/>
      <c r="Z151" s="388"/>
    </row>
    <row r="152" spans="1:26" x14ac:dyDescent="0.25">
      <c r="C152" s="388"/>
      <c r="D152" s="388"/>
      <c r="E152" s="388"/>
      <c r="F152" s="388"/>
      <c r="G152" s="388"/>
      <c r="H152" s="388"/>
      <c r="I152" s="388"/>
      <c r="J152" s="388"/>
      <c r="K152" s="388"/>
      <c r="L152" s="388"/>
      <c r="M152" s="657"/>
      <c r="N152" s="388"/>
      <c r="O152" s="388"/>
      <c r="P152" s="388"/>
      <c r="Q152" s="388"/>
      <c r="R152" s="388"/>
      <c r="S152" s="388"/>
      <c r="T152" s="388"/>
      <c r="U152" s="388"/>
      <c r="V152" s="388"/>
      <c r="W152" s="388"/>
      <c r="X152" s="388"/>
      <c r="Y152" s="388"/>
      <c r="Z152" s="388"/>
    </row>
    <row r="153" spans="1:26" x14ac:dyDescent="0.25">
      <c r="C153" s="388"/>
      <c r="D153" s="388"/>
      <c r="E153" s="388"/>
      <c r="F153" s="388"/>
      <c r="G153" s="388"/>
      <c r="H153" s="388"/>
      <c r="I153" s="388"/>
      <c r="J153" s="388"/>
      <c r="K153" s="388"/>
      <c r="L153" s="388"/>
      <c r="M153" s="657"/>
      <c r="N153" s="388"/>
      <c r="O153" s="388"/>
      <c r="P153" s="388"/>
      <c r="Q153" s="388"/>
      <c r="R153" s="388"/>
      <c r="S153" s="388"/>
      <c r="T153" s="388"/>
      <c r="U153" s="388"/>
      <c r="V153" s="388"/>
      <c r="W153" s="388"/>
      <c r="X153" s="388"/>
      <c r="Y153" s="388"/>
      <c r="Z153" s="388"/>
    </row>
    <row r="154" spans="1:26" x14ac:dyDescent="0.25">
      <c r="C154" s="388"/>
      <c r="D154" s="388"/>
      <c r="E154" s="388"/>
      <c r="F154" s="388"/>
      <c r="G154" s="388"/>
      <c r="H154" s="388"/>
      <c r="I154" s="388"/>
      <c r="J154" s="388"/>
      <c r="K154" s="388"/>
      <c r="L154" s="388"/>
      <c r="M154" s="657"/>
      <c r="N154" s="388"/>
      <c r="O154" s="388"/>
      <c r="P154" s="388"/>
      <c r="Q154" s="388"/>
      <c r="R154" s="388"/>
      <c r="S154" s="388"/>
      <c r="T154" s="388"/>
      <c r="U154" s="388"/>
      <c r="V154" s="388"/>
      <c r="W154" s="388"/>
      <c r="X154" s="388"/>
      <c r="Y154" s="388"/>
      <c r="Z154" s="388"/>
    </row>
    <row r="155" spans="1:26" x14ac:dyDescent="0.25">
      <c r="C155" s="388"/>
      <c r="D155" s="388"/>
      <c r="E155" s="388"/>
      <c r="F155" s="388"/>
      <c r="G155" s="388"/>
      <c r="H155" s="388"/>
      <c r="I155" s="388"/>
      <c r="J155" s="388"/>
      <c r="K155" s="388"/>
      <c r="L155" s="388"/>
      <c r="M155" s="657"/>
      <c r="N155" s="388"/>
      <c r="O155" s="388"/>
      <c r="P155" s="388"/>
      <c r="Q155" s="388"/>
      <c r="R155" s="388"/>
      <c r="S155" s="388"/>
      <c r="T155" s="388"/>
      <c r="U155" s="388"/>
      <c r="V155" s="388"/>
      <c r="W155" s="388"/>
      <c r="X155" s="388"/>
      <c r="Y155" s="388"/>
      <c r="Z155" s="388"/>
    </row>
    <row r="156" spans="1:26" x14ac:dyDescent="0.25">
      <c r="C156" s="388"/>
      <c r="D156" s="388"/>
      <c r="E156" s="388"/>
      <c r="F156" s="388"/>
      <c r="G156" s="388"/>
      <c r="H156" s="388"/>
      <c r="I156" s="388"/>
      <c r="J156" s="388"/>
      <c r="K156" s="388"/>
      <c r="L156" s="388"/>
      <c r="M156" s="657"/>
      <c r="N156" s="388"/>
      <c r="O156" s="388"/>
      <c r="P156" s="388"/>
      <c r="Q156" s="388"/>
      <c r="R156" s="388"/>
      <c r="S156" s="388"/>
      <c r="T156" s="388"/>
      <c r="U156" s="388"/>
      <c r="V156" s="388"/>
      <c r="W156" s="388"/>
      <c r="X156" s="388"/>
      <c r="Y156" s="388"/>
      <c r="Z156" s="388"/>
    </row>
    <row r="157" spans="1:26" x14ac:dyDescent="0.25">
      <c r="C157" s="388"/>
      <c r="D157" s="388"/>
      <c r="E157" s="388"/>
      <c r="F157" s="388"/>
      <c r="G157" s="388"/>
      <c r="H157" s="388"/>
      <c r="I157" s="388"/>
      <c r="J157" s="388"/>
      <c r="K157" s="388"/>
      <c r="L157" s="388"/>
      <c r="M157" s="657"/>
      <c r="N157" s="388"/>
      <c r="O157" s="388"/>
      <c r="P157" s="388"/>
      <c r="Q157" s="388"/>
      <c r="R157" s="388"/>
      <c r="S157" s="388"/>
      <c r="T157" s="388"/>
      <c r="U157" s="388"/>
      <c r="V157" s="388"/>
      <c r="W157" s="388"/>
      <c r="X157" s="388"/>
      <c r="Y157" s="388"/>
      <c r="Z157" s="388"/>
    </row>
    <row r="158" spans="1:26" x14ac:dyDescent="0.25">
      <c r="C158" s="388"/>
      <c r="D158" s="388"/>
      <c r="E158" s="388"/>
      <c r="F158" s="388"/>
      <c r="G158" s="388"/>
      <c r="H158" s="388"/>
      <c r="I158" s="388"/>
      <c r="J158" s="388"/>
      <c r="K158" s="388"/>
      <c r="L158" s="388"/>
      <c r="M158" s="657"/>
      <c r="N158" s="388"/>
      <c r="O158" s="388"/>
      <c r="P158" s="388"/>
      <c r="Q158" s="388"/>
      <c r="R158" s="388"/>
      <c r="S158" s="388"/>
      <c r="T158" s="388"/>
      <c r="U158" s="388"/>
      <c r="V158" s="388"/>
      <c r="W158" s="388"/>
      <c r="X158" s="388"/>
      <c r="Y158" s="388"/>
      <c r="Z158" s="388"/>
    </row>
    <row r="159" spans="1:26" x14ac:dyDescent="0.25">
      <c r="A159" s="404" t="s">
        <v>304</v>
      </c>
      <c r="C159" s="388"/>
      <c r="D159" s="388"/>
      <c r="E159" s="388"/>
      <c r="F159" s="388"/>
      <c r="G159" s="388"/>
      <c r="H159" s="388"/>
      <c r="I159" s="388"/>
      <c r="J159" s="388"/>
      <c r="K159" s="388"/>
      <c r="L159" s="388"/>
      <c r="M159" s="657"/>
      <c r="N159" s="388"/>
      <c r="O159" s="388"/>
      <c r="P159" s="388"/>
      <c r="Q159" s="388"/>
      <c r="R159" s="388"/>
      <c r="S159" s="388"/>
      <c r="T159" s="388"/>
      <c r="U159" s="388"/>
      <c r="V159" s="388"/>
      <c r="W159" s="388"/>
      <c r="X159" s="388"/>
      <c r="Y159" s="388"/>
      <c r="Z159" s="388"/>
    </row>
    <row r="160" spans="1:26" x14ac:dyDescent="0.25">
      <c r="A160" t="s">
        <v>254</v>
      </c>
      <c r="B160" s="411">
        <v>0.1</v>
      </c>
      <c r="C160" s="388"/>
      <c r="D160" s="388"/>
      <c r="E160" s="388"/>
      <c r="F160" s="388"/>
      <c r="G160" s="388"/>
      <c r="H160" s="388"/>
      <c r="I160" s="388"/>
      <c r="J160" s="388"/>
      <c r="K160" s="388"/>
      <c r="L160" s="388"/>
      <c r="M160" s="657"/>
      <c r="N160" s="388"/>
    </row>
    <row r="161" spans="1:27" x14ac:dyDescent="0.25">
      <c r="A161" t="s">
        <v>255</v>
      </c>
      <c r="B161" s="405">
        <f>B162*Y3</f>
        <v>1215</v>
      </c>
      <c r="E161" s="388"/>
      <c r="F161" s="388"/>
      <c r="G161" s="388"/>
      <c r="H161" s="388"/>
      <c r="I161" s="388"/>
      <c r="J161" s="388"/>
      <c r="K161" s="388"/>
      <c r="L161" s="388"/>
      <c r="M161" s="657"/>
      <c r="N161" s="388"/>
    </row>
    <row r="162" spans="1:27" x14ac:dyDescent="0.25">
      <c r="A162" t="s">
        <v>245</v>
      </c>
      <c r="B162" s="405">
        <f>E58</f>
        <v>3000</v>
      </c>
      <c r="D162" s="412"/>
      <c r="E162" s="388"/>
      <c r="F162" s="388"/>
      <c r="G162" s="388"/>
      <c r="H162" s="388"/>
      <c r="I162" s="388"/>
      <c r="J162" s="388"/>
      <c r="K162" s="388"/>
      <c r="L162" s="388"/>
      <c r="M162" s="657"/>
      <c r="N162" s="388"/>
    </row>
    <row r="163" spans="1:27" x14ac:dyDescent="0.25">
      <c r="A163" t="s">
        <v>256</v>
      </c>
      <c r="B163" s="405">
        <f>B161/B160</f>
        <v>12150</v>
      </c>
      <c r="E163" s="388"/>
      <c r="F163" s="388"/>
      <c r="G163" s="388"/>
      <c r="H163" s="388"/>
      <c r="I163" s="388"/>
      <c r="J163" s="388"/>
      <c r="K163" s="388"/>
      <c r="L163" s="388"/>
      <c r="M163" s="657"/>
      <c r="N163" s="388"/>
      <c r="O163" s="388"/>
      <c r="P163" s="388"/>
      <c r="Q163" s="388"/>
      <c r="R163" s="388"/>
      <c r="S163" s="388"/>
      <c r="T163" s="388"/>
      <c r="U163" s="388"/>
      <c r="V163" s="388"/>
      <c r="W163" s="388"/>
      <c r="X163" s="388"/>
      <c r="Y163" s="388"/>
      <c r="Z163" s="388"/>
    </row>
    <row r="164" spans="1:27" x14ac:dyDescent="0.25">
      <c r="A164" t="s">
        <v>257</v>
      </c>
      <c r="B164" s="405">
        <f>B163/Y3</f>
        <v>29999.999999999996</v>
      </c>
      <c r="E164" s="388"/>
      <c r="F164" s="388"/>
      <c r="G164" s="388"/>
      <c r="H164" s="388"/>
      <c r="I164" s="388"/>
      <c r="J164" s="388"/>
      <c r="K164" s="388"/>
      <c r="L164" s="388"/>
      <c r="M164" s="657"/>
      <c r="N164" s="388"/>
      <c r="O164" s="388"/>
      <c r="P164" s="388"/>
      <c r="Q164" s="388"/>
      <c r="R164" s="388"/>
      <c r="S164" s="388"/>
      <c r="T164" s="388"/>
      <c r="U164" s="388"/>
      <c r="V164" s="388"/>
      <c r="W164" s="388"/>
      <c r="X164" s="388"/>
      <c r="Y164" s="388"/>
      <c r="Z164" s="388"/>
    </row>
    <row r="165" spans="1:27" x14ac:dyDescent="0.25">
      <c r="A165" t="s">
        <v>258</v>
      </c>
      <c r="B165" s="410">
        <f>B163/Y4</f>
        <v>121.5</v>
      </c>
      <c r="E165" s="388"/>
      <c r="F165" s="388"/>
      <c r="G165" s="388"/>
      <c r="H165" s="388"/>
      <c r="I165" s="388"/>
      <c r="J165" s="388"/>
      <c r="K165" s="388"/>
      <c r="L165" s="388"/>
      <c r="M165" s="657"/>
      <c r="N165" s="388"/>
      <c r="O165" s="388"/>
      <c r="P165" s="388"/>
      <c r="Q165" s="388"/>
      <c r="R165" s="388"/>
      <c r="S165" s="388"/>
      <c r="T165" s="388"/>
      <c r="U165" s="388"/>
      <c r="V165" s="388"/>
      <c r="W165" s="388"/>
      <c r="X165" s="388"/>
      <c r="Y165" s="388"/>
      <c r="Z165" s="388"/>
    </row>
    <row r="166" spans="1:27" x14ac:dyDescent="0.25">
      <c r="A166" t="s">
        <v>259</v>
      </c>
      <c r="B166" s="413">
        <v>2.59</v>
      </c>
      <c r="E166" s="388"/>
      <c r="F166" s="388"/>
      <c r="G166" s="388"/>
      <c r="H166" s="388"/>
      <c r="I166" s="388"/>
      <c r="J166" s="388"/>
      <c r="K166" s="388"/>
      <c r="L166" s="388"/>
      <c r="M166" s="657"/>
      <c r="N166" s="388"/>
      <c r="O166" s="388"/>
      <c r="P166" s="388"/>
      <c r="Q166" s="388"/>
      <c r="R166" s="388"/>
      <c r="S166" s="388"/>
      <c r="T166" s="388"/>
      <c r="U166" s="388"/>
      <c r="V166" s="388"/>
      <c r="W166" s="388"/>
      <c r="X166" s="388"/>
      <c r="Y166" s="388"/>
      <c r="Z166" s="388"/>
    </row>
    <row r="167" spans="1:27" x14ac:dyDescent="0.25">
      <c r="A167" t="s">
        <v>260</v>
      </c>
      <c r="B167" s="413">
        <f>B165/B166</f>
        <v>46.91119691119691</v>
      </c>
      <c r="E167" s="388"/>
      <c r="F167" s="388"/>
      <c r="G167" s="388"/>
      <c r="H167" s="388"/>
      <c r="I167" s="388"/>
      <c r="J167" s="388"/>
      <c r="K167" s="388"/>
      <c r="L167" s="388"/>
      <c r="M167" s="657"/>
      <c r="N167" s="388"/>
      <c r="O167" s="388"/>
      <c r="P167" s="388"/>
      <c r="Q167" s="388"/>
      <c r="R167" s="388"/>
      <c r="S167" s="388"/>
      <c r="T167" s="388"/>
      <c r="U167" s="388"/>
      <c r="V167" s="388"/>
      <c r="W167" s="388"/>
      <c r="X167" s="388"/>
      <c r="Y167" s="388"/>
      <c r="Z167" s="388"/>
    </row>
    <row r="168" spans="1:27" x14ac:dyDescent="0.25">
      <c r="A168" t="s">
        <v>261</v>
      </c>
      <c r="B168" s="410">
        <f>(B165/PI())^0.5</f>
        <v>6.2188946904840385</v>
      </c>
      <c r="C168" t="s">
        <v>262</v>
      </c>
      <c r="E168" s="388"/>
      <c r="F168" s="388"/>
      <c r="G168" s="388"/>
      <c r="H168" s="388"/>
      <c r="I168" s="388"/>
      <c r="J168" s="388"/>
      <c r="K168" s="388"/>
      <c r="L168" s="388"/>
      <c r="M168" s="657"/>
      <c r="N168" s="388"/>
      <c r="O168" s="388"/>
      <c r="P168" s="388"/>
      <c r="Q168" s="388"/>
      <c r="R168" s="388"/>
      <c r="S168" s="388"/>
      <c r="T168" s="388"/>
      <c r="U168" s="388"/>
      <c r="V168" s="388"/>
      <c r="W168" s="388"/>
      <c r="X168" s="388"/>
      <c r="Y168" s="388"/>
      <c r="Z168" s="388"/>
    </row>
    <row r="169" spans="1:27" ht="30" x14ac:dyDescent="0.25">
      <c r="A169" s="395" t="s">
        <v>263</v>
      </c>
      <c r="B169" s="410">
        <f>2*B168/3</f>
        <v>4.145929793656026</v>
      </c>
      <c r="C169" t="s">
        <v>264</v>
      </c>
      <c r="E169" s="388"/>
      <c r="F169" s="388"/>
      <c r="G169" s="388"/>
      <c r="H169" s="388"/>
      <c r="I169" s="388"/>
      <c r="J169" s="388"/>
      <c r="K169" s="388"/>
      <c r="L169" s="388"/>
      <c r="M169" s="657"/>
      <c r="N169" s="388"/>
      <c r="O169" s="388"/>
      <c r="P169" s="388"/>
      <c r="Q169" s="388"/>
      <c r="R169" s="388"/>
      <c r="S169" s="388"/>
      <c r="T169" s="388"/>
      <c r="U169" s="388"/>
      <c r="V169" s="388"/>
      <c r="W169" s="388"/>
      <c r="X169" s="388"/>
      <c r="Y169" s="388"/>
      <c r="Z169" s="388"/>
    </row>
    <row r="170" spans="1:27" x14ac:dyDescent="0.25">
      <c r="A170" t="s">
        <v>265</v>
      </c>
      <c r="B170" s="398">
        <v>1.6</v>
      </c>
      <c r="E170" s="388"/>
      <c r="F170" s="388"/>
      <c r="G170" s="388"/>
      <c r="H170" s="388"/>
      <c r="I170" s="388"/>
      <c r="J170" s="388"/>
      <c r="K170" s="388"/>
      <c r="L170" s="388"/>
      <c r="M170" s="657"/>
      <c r="N170" s="388"/>
      <c r="O170" s="388"/>
      <c r="P170" s="388"/>
      <c r="Q170" s="388"/>
      <c r="R170" s="388"/>
      <c r="S170" s="388"/>
      <c r="T170" s="388"/>
      <c r="U170" s="388"/>
      <c r="V170" s="388"/>
      <c r="W170" s="388"/>
      <c r="X170" s="388"/>
      <c r="Y170" s="388"/>
      <c r="Z170" s="388"/>
    </row>
    <row r="171" spans="1:27" x14ac:dyDescent="0.25">
      <c r="A171" s="395" t="s">
        <v>266</v>
      </c>
      <c r="B171" s="410">
        <f>B169/B170</f>
        <v>2.5912061210350159</v>
      </c>
      <c r="E171" s="388"/>
      <c r="F171" s="388"/>
      <c r="G171" s="388"/>
      <c r="H171" s="388"/>
      <c r="I171" s="388"/>
      <c r="J171" s="388"/>
      <c r="K171" s="388"/>
      <c r="L171" s="388"/>
      <c r="M171" s="657"/>
      <c r="N171" s="388"/>
      <c r="O171" s="388"/>
      <c r="P171" s="388"/>
      <c r="Q171" s="388"/>
      <c r="R171" s="388"/>
      <c r="S171" s="388"/>
      <c r="T171" s="388"/>
      <c r="U171" s="388"/>
      <c r="V171" s="388"/>
      <c r="W171" s="388"/>
      <c r="X171" s="388"/>
      <c r="Y171" s="388"/>
      <c r="Z171" s="388"/>
    </row>
    <row r="172" spans="1:27" x14ac:dyDescent="0.25">
      <c r="C172" t="s">
        <v>267</v>
      </c>
      <c r="D172" t="s">
        <v>268</v>
      </c>
    </row>
    <row r="173" spans="1:27" x14ac:dyDescent="0.25">
      <c r="A173" s="404" t="s">
        <v>269</v>
      </c>
      <c r="C173" s="388"/>
      <c r="D173" s="388"/>
      <c r="E173" s="388"/>
      <c r="F173" s="388"/>
      <c r="G173" s="388"/>
      <c r="H173" s="388"/>
      <c r="I173" s="388"/>
      <c r="J173" s="388"/>
      <c r="K173" s="388"/>
      <c r="L173" s="388"/>
      <c r="M173" s="657"/>
    </row>
    <row r="174" spans="1:27" x14ac:dyDescent="0.25">
      <c r="A174" t="s">
        <v>270</v>
      </c>
      <c r="B174" s="398">
        <v>1</v>
      </c>
      <c r="C174" s="414">
        <v>127</v>
      </c>
      <c r="D174" s="388">
        <f>B174*C174</f>
        <v>127</v>
      </c>
      <c r="E174" s="388"/>
      <c r="F174" s="388"/>
      <c r="G174" s="388"/>
      <c r="H174" s="388"/>
      <c r="I174" s="388"/>
      <c r="J174" s="388"/>
      <c r="K174" s="388"/>
      <c r="L174" s="388"/>
      <c r="M174" s="657"/>
      <c r="N174" s="388"/>
      <c r="O174" s="388"/>
      <c r="P174" s="388"/>
      <c r="Q174" s="388"/>
      <c r="R174" s="388"/>
      <c r="S174" s="388"/>
      <c r="T174" s="388"/>
      <c r="U174" s="388"/>
      <c r="V174" s="388"/>
      <c r="W174" s="388"/>
      <c r="X174" s="388"/>
      <c r="Y174" s="388"/>
      <c r="Z174" s="388"/>
      <c r="AA174" s="388"/>
    </row>
    <row r="175" spans="1:27" x14ac:dyDescent="0.25">
      <c r="A175" t="s">
        <v>271</v>
      </c>
      <c r="B175" s="398">
        <v>2</v>
      </c>
      <c r="C175" s="414">
        <f>86+28</f>
        <v>114</v>
      </c>
      <c r="D175" s="388">
        <f>B175*C175</f>
        <v>228</v>
      </c>
      <c r="E175" s="388"/>
      <c r="F175" s="388"/>
      <c r="G175" s="388"/>
      <c r="H175" s="388"/>
      <c r="I175" s="388"/>
      <c r="J175" s="388"/>
      <c r="K175" s="388"/>
      <c r="L175" s="388"/>
      <c r="M175" s="657"/>
      <c r="N175" s="388"/>
      <c r="O175" s="388"/>
      <c r="P175" s="388"/>
      <c r="Q175" s="388"/>
      <c r="R175" s="388"/>
      <c r="S175" s="388"/>
      <c r="T175" s="388"/>
      <c r="U175" s="388"/>
      <c r="V175" s="388"/>
      <c r="W175" s="388"/>
      <c r="X175" s="388"/>
      <c r="Y175" s="388"/>
      <c r="Z175" s="388"/>
    </row>
    <row r="176" spans="1:27" x14ac:dyDescent="0.25">
      <c r="D176" s="388">
        <f>D174+D175</f>
        <v>355</v>
      </c>
      <c r="E176" s="388"/>
      <c r="F176" s="388"/>
      <c r="G176" s="388"/>
      <c r="H176" s="388"/>
      <c r="I176" s="388"/>
      <c r="J176" s="388"/>
      <c r="K176" s="388"/>
      <c r="L176" s="388"/>
      <c r="M176" s="657"/>
      <c r="N176" s="388"/>
    </row>
    <row r="177" spans="1:26" x14ac:dyDescent="0.25">
      <c r="A177" t="s">
        <v>272</v>
      </c>
      <c r="B177" s="398">
        <v>20</v>
      </c>
      <c r="C177" t="s">
        <v>273</v>
      </c>
      <c r="D177" s="388"/>
      <c r="E177" s="388"/>
      <c r="F177" s="388"/>
      <c r="G177" s="388"/>
      <c r="H177" s="388"/>
      <c r="I177" s="388"/>
      <c r="J177" s="388"/>
      <c r="K177" s="388"/>
      <c r="L177" s="388"/>
      <c r="M177" s="657"/>
      <c r="N177" s="388"/>
      <c r="O177" s="388"/>
      <c r="P177" s="388"/>
      <c r="Q177" s="388"/>
      <c r="R177" s="388"/>
      <c r="S177" s="388"/>
      <c r="T177" s="388"/>
      <c r="U177" s="388"/>
      <c r="V177" s="388"/>
      <c r="W177" s="388"/>
      <c r="X177" s="388"/>
      <c r="Y177" s="388"/>
      <c r="Z177" s="388"/>
    </row>
    <row r="178" spans="1:26" x14ac:dyDescent="0.25">
      <c r="D178" s="388"/>
      <c r="E178" s="388"/>
      <c r="F178" s="388"/>
      <c r="G178" s="388"/>
      <c r="H178" s="388"/>
      <c r="I178" s="388"/>
      <c r="J178" s="388"/>
      <c r="K178" s="388"/>
      <c r="L178" s="388"/>
      <c r="M178" s="657"/>
      <c r="N178" s="388"/>
      <c r="O178" s="388"/>
      <c r="P178" s="388"/>
      <c r="Q178" s="388"/>
      <c r="R178" s="388"/>
      <c r="S178" s="388"/>
      <c r="T178" s="388"/>
      <c r="U178" s="388"/>
      <c r="V178" s="388"/>
      <c r="W178" s="388"/>
      <c r="X178" s="388"/>
      <c r="Y178" s="388"/>
      <c r="Z178" s="388"/>
    </row>
    <row r="179" spans="1:26" x14ac:dyDescent="0.25">
      <c r="A179" t="s">
        <v>274</v>
      </c>
      <c r="B179">
        <f>B177*B170</f>
        <v>32</v>
      </c>
      <c r="D179" s="388"/>
      <c r="E179" s="388"/>
      <c r="F179" s="388"/>
      <c r="G179" s="388"/>
      <c r="H179" s="388"/>
      <c r="I179" s="388"/>
      <c r="J179" s="388"/>
      <c r="K179" s="388"/>
      <c r="L179" s="388"/>
      <c r="M179" s="657"/>
      <c r="N179" s="388"/>
      <c r="O179" s="388"/>
      <c r="P179" s="388"/>
      <c r="Q179" s="388"/>
      <c r="R179" s="388"/>
      <c r="S179" s="388"/>
      <c r="T179" s="388"/>
      <c r="U179" s="388"/>
      <c r="V179" s="388"/>
      <c r="W179" s="388"/>
      <c r="X179" s="388"/>
      <c r="Y179" s="388"/>
      <c r="Z179" s="388"/>
    </row>
    <row r="180" spans="1:26" x14ac:dyDescent="0.25">
      <c r="A180" t="s">
        <v>275</v>
      </c>
      <c r="B180" s="229">
        <f>B169*2/B179</f>
        <v>0.25912061210350162</v>
      </c>
      <c r="D180" s="388"/>
      <c r="E180" s="388"/>
      <c r="F180" s="388"/>
      <c r="G180" s="388"/>
      <c r="H180" s="388"/>
      <c r="I180" s="388"/>
      <c r="J180" s="388"/>
      <c r="K180" s="388"/>
      <c r="L180" s="388"/>
      <c r="M180" s="657"/>
      <c r="N180" s="388"/>
      <c r="O180" s="388"/>
      <c r="P180" s="388"/>
      <c r="Q180" s="388"/>
      <c r="R180" s="388"/>
      <c r="S180" s="388"/>
      <c r="T180" s="388"/>
      <c r="U180" s="388"/>
      <c r="V180" s="388"/>
      <c r="W180" s="388"/>
      <c r="X180" s="388"/>
      <c r="Y180" s="388"/>
      <c r="Z180" s="388"/>
    </row>
    <row r="181" spans="1:26" x14ac:dyDescent="0.25">
      <c r="A181" t="s">
        <v>276</v>
      </c>
      <c r="B181" s="415">
        <f>6000*7.48/2000</f>
        <v>22.44</v>
      </c>
      <c r="D181" s="388"/>
      <c r="E181" s="388"/>
      <c r="F181" s="388"/>
      <c r="G181" s="388"/>
      <c r="H181" s="388"/>
      <c r="I181" s="388"/>
      <c r="J181" s="388"/>
      <c r="K181" s="388"/>
      <c r="L181" s="388"/>
      <c r="M181" s="657"/>
      <c r="N181" s="388"/>
      <c r="O181" s="388"/>
      <c r="P181" s="388"/>
      <c r="Q181" s="388"/>
      <c r="R181" s="388"/>
      <c r="S181" s="388"/>
      <c r="T181" s="388"/>
      <c r="U181" s="388"/>
      <c r="V181" s="388"/>
      <c r="W181" s="388"/>
      <c r="X181" s="388"/>
      <c r="Y181" s="388"/>
      <c r="Z181" s="388"/>
    </row>
    <row r="182" spans="1:26" x14ac:dyDescent="0.25">
      <c r="A182" t="s">
        <v>277</v>
      </c>
      <c r="B182" s="411">
        <v>0.5</v>
      </c>
      <c r="D182" s="388"/>
      <c r="E182" s="388"/>
      <c r="F182" s="388"/>
      <c r="G182" s="388"/>
      <c r="H182" s="388"/>
      <c r="I182" s="388"/>
      <c r="J182" s="388"/>
      <c r="K182" s="388"/>
      <c r="L182" s="388"/>
      <c r="M182" s="657"/>
      <c r="N182" s="388"/>
      <c r="O182" s="388"/>
      <c r="P182" s="388"/>
      <c r="Q182" s="388"/>
      <c r="R182" s="388"/>
      <c r="S182" s="388"/>
      <c r="T182" s="388"/>
      <c r="U182" s="388"/>
      <c r="V182" s="388"/>
      <c r="W182" s="388"/>
      <c r="X182" s="388"/>
      <c r="Y182" s="388"/>
      <c r="Z182" s="388"/>
    </row>
    <row r="183" spans="1:26" x14ac:dyDescent="0.25">
      <c r="A183" t="s">
        <v>278</v>
      </c>
      <c r="B183" s="416">
        <f>B181*B182</f>
        <v>11.22</v>
      </c>
      <c r="D183" s="388"/>
      <c r="E183" s="388"/>
      <c r="F183" s="388"/>
      <c r="G183" s="388"/>
      <c r="H183" s="388"/>
      <c r="I183" s="388"/>
      <c r="J183" s="388"/>
      <c r="K183" s="388"/>
      <c r="L183" s="388"/>
      <c r="M183" s="657"/>
      <c r="N183" s="388"/>
      <c r="O183" s="388"/>
      <c r="P183" s="388"/>
      <c r="Q183" s="388"/>
      <c r="R183" s="388"/>
      <c r="S183" s="388"/>
      <c r="T183" s="388"/>
      <c r="U183" s="388"/>
      <c r="V183" s="388"/>
      <c r="W183" s="388"/>
      <c r="X183" s="388"/>
      <c r="Y183" s="388"/>
      <c r="Z183" s="388"/>
    </row>
    <row r="184" spans="1:26" x14ac:dyDescent="0.25">
      <c r="A184" t="s">
        <v>279</v>
      </c>
      <c r="B184" s="229">
        <f>B183*Y2</f>
        <v>10.176540000000001</v>
      </c>
      <c r="D184" s="388"/>
      <c r="E184" s="388"/>
      <c r="F184" s="388"/>
      <c r="G184" s="388"/>
      <c r="H184" s="388"/>
      <c r="I184" s="388"/>
      <c r="J184" s="388"/>
      <c r="K184" s="388"/>
      <c r="L184" s="388"/>
      <c r="M184" s="657"/>
      <c r="N184" s="388"/>
      <c r="O184" s="388"/>
      <c r="P184" s="388"/>
      <c r="Q184" s="388"/>
      <c r="R184" s="388"/>
      <c r="S184" s="388"/>
      <c r="T184" s="388"/>
      <c r="U184" s="388"/>
      <c r="V184" s="388"/>
      <c r="W184" s="388"/>
      <c r="X184" s="388"/>
      <c r="Y184" s="388"/>
      <c r="Z184" s="388"/>
    </row>
    <row r="185" spans="1:26" x14ac:dyDescent="0.25">
      <c r="A185" t="s">
        <v>280</v>
      </c>
      <c r="B185" s="248">
        <f>B181*2000/Y7</f>
        <v>6000</v>
      </c>
      <c r="D185" s="388"/>
      <c r="E185" s="388"/>
      <c r="F185" s="388"/>
      <c r="G185" s="388"/>
      <c r="H185" s="388"/>
      <c r="I185" s="388"/>
      <c r="J185" s="388"/>
      <c r="K185" s="388"/>
      <c r="L185" s="388"/>
      <c r="M185" s="657"/>
      <c r="N185" s="388"/>
      <c r="O185" s="388"/>
      <c r="P185" s="388"/>
      <c r="Q185" s="388"/>
      <c r="R185" s="388"/>
      <c r="S185" s="388"/>
      <c r="T185" s="388"/>
      <c r="U185" s="388"/>
      <c r="V185" s="388"/>
      <c r="W185" s="388"/>
      <c r="X185" s="388"/>
      <c r="Y185" s="388"/>
      <c r="Z185" s="388"/>
    </row>
    <row r="186" spans="1:26" x14ac:dyDescent="0.25">
      <c r="A186" t="s">
        <v>281</v>
      </c>
      <c r="B186" s="229" t="e">
        <f>#REF!/(B184*1000)</f>
        <v>#REF!</v>
      </c>
      <c r="C186" s="410"/>
      <c r="D186" s="388"/>
      <c r="E186" s="388"/>
      <c r="F186" s="388"/>
      <c r="G186" s="388"/>
      <c r="H186" s="388"/>
      <c r="I186" s="388"/>
      <c r="J186" s="388"/>
      <c r="K186" s="388"/>
      <c r="L186" s="388"/>
      <c r="M186" s="657"/>
      <c r="N186" s="388"/>
      <c r="O186" s="388"/>
      <c r="P186" s="388"/>
      <c r="Q186" s="388"/>
      <c r="R186" s="388"/>
      <c r="S186" s="388"/>
      <c r="T186" s="388"/>
      <c r="U186" s="388"/>
      <c r="V186" s="388"/>
      <c r="W186" s="388"/>
      <c r="X186" s="388"/>
      <c r="Y186" s="388"/>
      <c r="Z186" s="388"/>
    </row>
    <row r="187" spans="1:26" x14ac:dyDescent="0.25">
      <c r="A187" t="s">
        <v>282</v>
      </c>
      <c r="B187" s="229" t="e">
        <f>B186/B174</f>
        <v>#REF!</v>
      </c>
      <c r="D187" s="388"/>
      <c r="E187" s="388"/>
      <c r="F187" s="388"/>
      <c r="G187" s="388"/>
      <c r="H187" s="388"/>
      <c r="I187" s="388"/>
      <c r="J187" s="388"/>
      <c r="K187" s="388"/>
      <c r="L187" s="388"/>
      <c r="M187" s="657"/>
      <c r="N187" s="388"/>
      <c r="O187" s="388"/>
      <c r="P187" s="388"/>
      <c r="Q187" s="388"/>
      <c r="R187" s="388"/>
      <c r="S187" s="388"/>
      <c r="T187" s="388"/>
      <c r="U187" s="388"/>
      <c r="V187" s="388"/>
      <c r="W187" s="388"/>
      <c r="X187" s="388"/>
      <c r="Y187" s="388"/>
      <c r="Z187" s="388"/>
    </row>
    <row r="188" spans="1:26" x14ac:dyDescent="0.25">
      <c r="A188" t="s">
        <v>283</v>
      </c>
      <c r="B188" s="417" t="e">
        <f>B187*B180</f>
        <v>#REF!</v>
      </c>
      <c r="D188" s="388"/>
      <c r="E188" s="388"/>
      <c r="F188" s="388"/>
      <c r="G188" s="388"/>
      <c r="H188" s="388"/>
      <c r="I188" s="388"/>
      <c r="J188" s="388"/>
      <c r="K188" s="388"/>
      <c r="L188" s="388"/>
      <c r="M188" s="657"/>
      <c r="N188" s="388"/>
      <c r="O188" s="388"/>
      <c r="P188" s="388"/>
      <c r="Q188" s="388"/>
      <c r="R188" s="388"/>
      <c r="S188" s="388"/>
      <c r="T188" s="388"/>
      <c r="U188" s="388"/>
      <c r="V188" s="388"/>
      <c r="W188" s="388"/>
      <c r="X188" s="388"/>
      <c r="Y188" s="388"/>
      <c r="Z188" s="388"/>
    </row>
    <row r="189" spans="1:26" x14ac:dyDescent="0.25">
      <c r="A189" t="s">
        <v>284</v>
      </c>
      <c r="B189" s="408">
        <f>C174*B180</f>
        <v>32.908317737144706</v>
      </c>
      <c r="D189" s="388"/>
      <c r="E189" s="388"/>
      <c r="F189" s="388"/>
      <c r="G189" s="388"/>
      <c r="H189" s="388"/>
      <c r="I189" s="388"/>
      <c r="J189" s="388"/>
      <c r="K189" s="388"/>
      <c r="L189" s="388"/>
      <c r="M189" s="657"/>
      <c r="N189" s="388"/>
      <c r="O189" s="388"/>
      <c r="P189" s="388"/>
      <c r="Q189" s="388"/>
      <c r="R189" s="388"/>
      <c r="S189" s="388"/>
      <c r="T189" s="388"/>
      <c r="U189" s="388"/>
      <c r="V189" s="388"/>
      <c r="W189" s="388"/>
      <c r="X189" s="388"/>
      <c r="Y189" s="388"/>
      <c r="Z189" s="388"/>
    </row>
    <row r="190" spans="1:26" x14ac:dyDescent="0.25">
      <c r="A190" t="s">
        <v>285</v>
      </c>
      <c r="B190" s="415">
        <v>15</v>
      </c>
      <c r="D190" s="388"/>
      <c r="E190" s="388"/>
      <c r="F190" s="388"/>
      <c r="G190" s="388"/>
      <c r="H190" s="388"/>
      <c r="I190" s="388"/>
      <c r="J190" s="388"/>
      <c r="K190" s="388"/>
      <c r="L190" s="388"/>
      <c r="M190" s="657"/>
      <c r="N190" s="388"/>
      <c r="O190" s="388"/>
      <c r="P190" s="388"/>
      <c r="Q190" s="388"/>
      <c r="R190" s="388"/>
      <c r="S190" s="388"/>
      <c r="T190" s="388"/>
      <c r="U190" s="388"/>
      <c r="V190" s="388"/>
      <c r="W190" s="388"/>
      <c r="X190" s="388"/>
      <c r="Y190" s="388"/>
      <c r="Z190" s="388"/>
    </row>
    <row r="191" spans="1:26" x14ac:dyDescent="0.25">
      <c r="A191" t="s">
        <v>286</v>
      </c>
      <c r="B191" s="418">
        <f>B190*C175/60</f>
        <v>28.5</v>
      </c>
      <c r="D191" s="388"/>
      <c r="E191" s="388"/>
      <c r="F191" s="388"/>
      <c r="G191" s="388"/>
      <c r="H191" s="388"/>
      <c r="I191" s="388"/>
      <c r="J191" s="388"/>
      <c r="K191" s="388"/>
      <c r="L191" s="388"/>
      <c r="M191" s="657"/>
      <c r="N191" s="388"/>
      <c r="O191" s="388"/>
      <c r="P191" s="388"/>
      <c r="Q191" s="388"/>
      <c r="R191" s="388"/>
      <c r="S191" s="388"/>
      <c r="T191" s="388"/>
      <c r="U191" s="388"/>
      <c r="V191" s="388"/>
      <c r="W191" s="388"/>
      <c r="X191" s="388"/>
      <c r="Y191" s="388"/>
      <c r="Z191" s="388"/>
    </row>
    <row r="192" spans="1:26" x14ac:dyDescent="0.25">
      <c r="A192" t="s">
        <v>287</v>
      </c>
      <c r="B192" s="418">
        <f>(B180+B190/60)*C174</f>
        <v>64.658317737144714</v>
      </c>
      <c r="D192" s="388"/>
      <c r="E192" s="388"/>
      <c r="F192" s="388"/>
      <c r="G192" s="388"/>
      <c r="H192" s="388"/>
      <c r="I192" s="388"/>
      <c r="J192" s="388"/>
      <c r="K192" s="388"/>
      <c r="L192" s="388"/>
      <c r="M192" s="657"/>
      <c r="N192" s="388"/>
      <c r="O192" s="388"/>
      <c r="P192" s="388"/>
      <c r="Q192" s="388"/>
      <c r="R192" s="388"/>
      <c r="S192" s="388"/>
      <c r="T192" s="388"/>
      <c r="U192" s="388"/>
      <c r="V192" s="388"/>
      <c r="W192" s="388"/>
      <c r="X192" s="388"/>
      <c r="Y192" s="388"/>
      <c r="Z192" s="388"/>
    </row>
    <row r="193" spans="1:35" x14ac:dyDescent="0.25">
      <c r="A193" t="s">
        <v>288</v>
      </c>
      <c r="B193" s="418">
        <f>B189+B191+B192</f>
        <v>126.06663547428943</v>
      </c>
      <c r="D193" s="388"/>
      <c r="E193" s="388"/>
      <c r="F193" s="388"/>
      <c r="G193" s="388"/>
      <c r="H193" s="388"/>
      <c r="I193" s="388"/>
      <c r="J193" s="388"/>
      <c r="K193" s="388"/>
      <c r="L193" s="388"/>
      <c r="M193" s="657"/>
      <c r="N193" s="388"/>
      <c r="O193" s="388"/>
      <c r="P193" s="388"/>
      <c r="Q193" s="388"/>
      <c r="R193" s="388"/>
      <c r="S193" s="388"/>
      <c r="T193" s="388"/>
      <c r="U193" s="388"/>
      <c r="V193" s="388"/>
      <c r="W193" s="388"/>
      <c r="X193" s="388"/>
      <c r="Y193" s="388"/>
      <c r="Z193" s="388"/>
    </row>
    <row r="194" spans="1:35" x14ac:dyDescent="0.25">
      <c r="A194" t="s">
        <v>289</v>
      </c>
      <c r="B194" s="419" t="e">
        <f>B188+B190*B187/60</f>
        <v>#REF!</v>
      </c>
      <c r="D194" s="388"/>
      <c r="E194" s="388"/>
      <c r="F194" s="388"/>
      <c r="G194" s="388"/>
      <c r="H194" s="388"/>
      <c r="I194" s="388"/>
      <c r="J194" s="388"/>
      <c r="K194" s="388"/>
      <c r="L194" s="388"/>
      <c r="M194" s="657"/>
      <c r="N194" s="388"/>
      <c r="O194" s="388"/>
      <c r="P194" s="388"/>
      <c r="Q194" s="388"/>
      <c r="R194" s="388"/>
      <c r="S194" s="388"/>
      <c r="T194" s="388"/>
      <c r="U194" s="388"/>
      <c r="V194" s="388"/>
      <c r="W194" s="388"/>
      <c r="X194" s="388"/>
      <c r="Y194" s="388"/>
      <c r="Z194" s="388"/>
    </row>
    <row r="195" spans="1:35" x14ac:dyDescent="0.25">
      <c r="A195" t="s">
        <v>290</v>
      </c>
      <c r="B195" s="419" t="e">
        <f>B194*B174</f>
        <v>#REF!</v>
      </c>
      <c r="D195" s="388"/>
    </row>
    <row r="196" spans="1:35" x14ac:dyDescent="0.25">
      <c r="A196" t="s">
        <v>291</v>
      </c>
      <c r="C196" s="388"/>
      <c r="D196" s="388"/>
      <c r="E196" s="388"/>
      <c r="F196" s="388"/>
      <c r="G196" s="388"/>
      <c r="H196" s="388"/>
      <c r="I196" s="388"/>
      <c r="J196" s="388"/>
      <c r="K196" s="388"/>
      <c r="L196" s="388"/>
      <c r="M196" s="657"/>
      <c r="N196" s="409"/>
      <c r="O196" s="409"/>
      <c r="P196" s="409"/>
      <c r="Q196" s="409"/>
      <c r="R196" s="409"/>
      <c r="S196" s="409"/>
      <c r="T196" s="409"/>
      <c r="U196" s="409"/>
      <c r="V196" s="409"/>
      <c r="W196" s="409"/>
      <c r="X196" s="409"/>
      <c r="Y196" s="409"/>
      <c r="Z196" s="409"/>
      <c r="AA196" s="388"/>
      <c r="AI196" s="412"/>
    </row>
    <row r="197" spans="1:35" x14ac:dyDescent="0.25">
      <c r="B197" s="229"/>
      <c r="C197" s="388"/>
      <c r="D197" s="388"/>
      <c r="E197" s="388"/>
      <c r="F197" s="388"/>
      <c r="G197" s="388"/>
      <c r="H197" s="388"/>
      <c r="I197" s="388"/>
      <c r="J197" s="388"/>
      <c r="K197" s="388"/>
      <c r="L197" s="388"/>
      <c r="M197" s="657"/>
      <c r="N197" s="388"/>
      <c r="O197" s="409"/>
      <c r="P197" s="409"/>
      <c r="Q197" s="409"/>
      <c r="R197" s="409"/>
      <c r="S197" s="409"/>
      <c r="T197" s="409"/>
      <c r="U197" s="409"/>
      <c r="V197" s="409"/>
      <c r="W197" s="409"/>
      <c r="X197" s="409"/>
      <c r="Y197" s="409"/>
      <c r="Z197" s="409"/>
      <c r="AA197" s="409"/>
    </row>
    <row r="198" spans="1:35" x14ac:dyDescent="0.25">
      <c r="B198" s="229"/>
      <c r="C198" s="388"/>
      <c r="D198" s="388"/>
      <c r="E198" s="388"/>
      <c r="F198" s="388"/>
      <c r="G198" s="388"/>
      <c r="H198" s="388"/>
      <c r="I198" s="388"/>
      <c r="J198" s="388"/>
      <c r="K198" s="388"/>
      <c r="L198" s="388"/>
      <c r="M198" s="657"/>
      <c r="N198" s="388"/>
      <c r="O198" s="409"/>
      <c r="P198" s="409"/>
      <c r="Q198" s="409"/>
      <c r="R198" s="409"/>
      <c r="S198" s="409"/>
      <c r="T198" s="409"/>
      <c r="U198" s="409"/>
      <c r="V198" s="409"/>
      <c r="W198" s="409"/>
      <c r="X198" s="409"/>
      <c r="Y198" s="409"/>
      <c r="Z198" s="409"/>
      <c r="AA198" s="409"/>
    </row>
    <row r="199" spans="1:35" x14ac:dyDescent="0.25">
      <c r="B199" s="229"/>
      <c r="C199" s="388"/>
      <c r="D199" s="388"/>
      <c r="E199" s="388"/>
      <c r="F199" s="388"/>
      <c r="G199" s="388"/>
      <c r="H199" s="388"/>
      <c r="I199" s="388"/>
      <c r="J199" s="388"/>
      <c r="K199" s="388"/>
      <c r="L199" s="388"/>
      <c r="M199" s="657"/>
      <c r="N199" s="388"/>
      <c r="O199" s="409"/>
      <c r="P199" s="409"/>
      <c r="Q199" s="409"/>
      <c r="R199" s="409"/>
      <c r="S199" s="409"/>
      <c r="T199" s="409"/>
      <c r="U199" s="409"/>
      <c r="V199" s="409"/>
      <c r="W199" s="409"/>
      <c r="X199" s="409"/>
      <c r="Y199" s="409"/>
      <c r="Z199" s="409"/>
      <c r="AA199" s="409"/>
      <c r="AD199" s="409"/>
      <c r="AE199" s="409"/>
    </row>
    <row r="200" spans="1:35" x14ac:dyDescent="0.25">
      <c r="B200" s="229"/>
      <c r="C200" s="388"/>
      <c r="D200" s="388"/>
      <c r="E200" s="388"/>
      <c r="F200" s="388"/>
      <c r="G200" s="388"/>
      <c r="H200" s="388"/>
      <c r="I200" s="388"/>
      <c r="J200" s="388"/>
      <c r="K200" s="388"/>
      <c r="L200" s="388"/>
      <c r="M200" s="657"/>
      <c r="N200" s="388"/>
      <c r="O200" s="409"/>
      <c r="P200" s="409"/>
      <c r="Q200" s="409"/>
      <c r="R200" s="409"/>
      <c r="S200" s="409"/>
      <c r="T200" s="409"/>
      <c r="U200" s="409"/>
      <c r="V200" s="409"/>
      <c r="W200" s="409"/>
      <c r="X200" s="409"/>
      <c r="Y200" s="409"/>
      <c r="Z200" s="409"/>
      <c r="AA200" s="409"/>
      <c r="AC200" s="420"/>
      <c r="AD200" s="389"/>
      <c r="AE200" s="389"/>
      <c r="AF200" s="409"/>
      <c r="AG200" s="409"/>
      <c r="AH200" s="409"/>
      <c r="AI200" s="409"/>
    </row>
    <row r="201" spans="1:35" x14ac:dyDescent="0.25">
      <c r="B201" s="229"/>
      <c r="C201" s="388"/>
      <c r="D201" s="388"/>
      <c r="E201" s="388"/>
      <c r="F201" s="388"/>
      <c r="G201" s="388"/>
      <c r="H201" s="388"/>
      <c r="I201" s="388"/>
      <c r="J201" s="388"/>
      <c r="K201" s="388"/>
      <c r="L201" s="388"/>
      <c r="M201" s="657"/>
      <c r="N201" s="388"/>
      <c r="O201" s="409"/>
      <c r="P201" s="409"/>
      <c r="Q201" s="409"/>
      <c r="R201" s="409"/>
      <c r="S201" s="409"/>
      <c r="T201" s="409"/>
      <c r="U201" s="409"/>
      <c r="V201" s="409"/>
      <c r="W201" s="409"/>
      <c r="X201" s="409"/>
      <c r="Y201" s="409"/>
      <c r="Z201" s="409"/>
      <c r="AA201" s="409"/>
      <c r="AD201" s="389"/>
      <c r="AE201" s="389"/>
      <c r="AF201" s="409"/>
      <c r="AG201" s="409"/>
      <c r="AH201" s="409"/>
      <c r="AI201" s="409"/>
    </row>
    <row r="202" spans="1:35" x14ac:dyDescent="0.25">
      <c r="B202" s="229"/>
      <c r="C202" s="388"/>
      <c r="D202" s="388"/>
      <c r="E202" s="388"/>
      <c r="F202" s="388"/>
      <c r="G202" s="388"/>
      <c r="H202" s="388"/>
      <c r="I202" s="388"/>
      <c r="J202" s="388"/>
      <c r="K202" s="388"/>
      <c r="L202" s="388"/>
      <c r="M202" s="657"/>
      <c r="N202" s="388"/>
      <c r="O202" s="409"/>
      <c r="P202" s="409"/>
      <c r="Q202" s="409"/>
      <c r="R202" s="409"/>
      <c r="S202" s="409"/>
      <c r="T202" s="409"/>
      <c r="U202" s="409"/>
      <c r="V202" s="409"/>
      <c r="W202" s="409"/>
      <c r="X202" s="409"/>
      <c r="Y202" s="409"/>
      <c r="Z202" s="409"/>
      <c r="AA202" s="409"/>
      <c r="AD202" s="389"/>
      <c r="AE202" s="389"/>
      <c r="AF202" s="409"/>
      <c r="AG202" s="409"/>
      <c r="AH202" s="409"/>
      <c r="AI202" s="409"/>
    </row>
    <row r="203" spans="1:35" x14ac:dyDescent="0.25">
      <c r="B203" s="229"/>
      <c r="C203" s="388"/>
      <c r="D203" s="388"/>
      <c r="E203" s="388"/>
      <c r="F203" s="388"/>
      <c r="G203" s="388"/>
      <c r="H203" s="388"/>
      <c r="I203" s="388"/>
      <c r="J203" s="388"/>
      <c r="K203" s="388"/>
      <c r="L203" s="388"/>
      <c r="M203" s="657"/>
      <c r="N203" s="388"/>
      <c r="O203" s="409"/>
      <c r="P203" s="409"/>
      <c r="Q203" s="409"/>
      <c r="R203" s="409"/>
      <c r="S203" s="409"/>
      <c r="T203" s="409"/>
      <c r="U203" s="409"/>
      <c r="V203" s="409"/>
      <c r="W203" s="409"/>
      <c r="X203" s="409"/>
      <c r="Y203" s="409"/>
      <c r="Z203" s="409"/>
      <c r="AA203" s="409"/>
      <c r="AD203" s="389"/>
      <c r="AE203" s="389"/>
      <c r="AF203" s="409"/>
      <c r="AG203" s="409"/>
      <c r="AH203" s="409"/>
      <c r="AI203" s="409"/>
    </row>
    <row r="204" spans="1:35" x14ac:dyDescent="0.25">
      <c r="B204" s="229"/>
      <c r="C204" s="388"/>
      <c r="D204" s="388"/>
      <c r="E204" s="388"/>
      <c r="F204" s="388"/>
      <c r="G204" s="388"/>
      <c r="H204" s="388"/>
      <c r="I204" s="388"/>
      <c r="J204" s="388"/>
      <c r="K204" s="388"/>
      <c r="L204" s="388"/>
      <c r="M204" s="657"/>
      <c r="N204" s="388"/>
      <c r="O204" s="409"/>
      <c r="P204" s="409"/>
      <c r="Q204" s="409"/>
      <c r="R204" s="409"/>
      <c r="S204" s="409"/>
      <c r="T204" s="409"/>
      <c r="U204" s="409"/>
      <c r="V204" s="409"/>
      <c r="W204" s="409"/>
      <c r="X204" s="409"/>
      <c r="Y204" s="409"/>
      <c r="Z204" s="409"/>
      <c r="AA204" s="409"/>
      <c r="AD204" s="389"/>
      <c r="AE204" s="389"/>
      <c r="AF204" s="409"/>
      <c r="AG204" s="409"/>
      <c r="AH204" s="409"/>
      <c r="AI204" s="409"/>
    </row>
    <row r="205" spans="1:35" x14ac:dyDescent="0.25">
      <c r="B205" s="229"/>
      <c r="C205" s="388"/>
      <c r="D205" s="388"/>
      <c r="E205" s="388"/>
      <c r="F205" s="388"/>
      <c r="G205" s="388"/>
      <c r="H205" s="388"/>
      <c r="I205" s="388"/>
      <c r="J205" s="388"/>
      <c r="K205" s="388"/>
      <c r="L205" s="388"/>
      <c r="M205" s="657"/>
      <c r="N205" s="388"/>
      <c r="O205" s="409"/>
      <c r="P205" s="409"/>
      <c r="Q205" s="409"/>
      <c r="R205" s="409"/>
      <c r="S205" s="409"/>
      <c r="T205" s="409"/>
      <c r="U205" s="409"/>
      <c r="V205" s="409"/>
      <c r="W205" s="409"/>
      <c r="X205" s="409"/>
      <c r="Y205" s="409"/>
      <c r="Z205" s="409"/>
      <c r="AA205" s="409"/>
      <c r="AD205" s="389"/>
      <c r="AE205" s="389"/>
      <c r="AF205" s="409"/>
      <c r="AG205" s="409"/>
      <c r="AH205" s="409"/>
      <c r="AI205" s="409"/>
    </row>
    <row r="206" spans="1:35" x14ac:dyDescent="0.25">
      <c r="B206" s="229"/>
      <c r="C206" s="388"/>
      <c r="D206" s="388"/>
      <c r="E206" s="388"/>
      <c r="F206" s="388"/>
      <c r="G206" s="388"/>
      <c r="H206" s="388"/>
      <c r="I206" s="388"/>
      <c r="J206" s="388"/>
      <c r="K206" s="388"/>
      <c r="L206" s="388"/>
      <c r="M206" s="657"/>
      <c r="N206" s="388"/>
      <c r="O206" s="409"/>
      <c r="P206" s="409"/>
      <c r="Q206" s="409"/>
      <c r="R206" s="409"/>
      <c r="S206" s="409"/>
      <c r="T206" s="409"/>
      <c r="U206" s="409"/>
      <c r="V206" s="409"/>
      <c r="W206" s="409"/>
      <c r="X206" s="409"/>
      <c r="Y206" s="409"/>
      <c r="Z206" s="409"/>
      <c r="AA206" s="409"/>
    </row>
    <row r="207" spans="1:35" x14ac:dyDescent="0.25">
      <c r="B207" s="229"/>
      <c r="C207" s="388"/>
      <c r="D207" s="388"/>
      <c r="E207" s="388"/>
      <c r="F207" s="388"/>
      <c r="G207" s="388"/>
      <c r="H207" s="388"/>
      <c r="I207" s="388"/>
      <c r="J207" s="388"/>
      <c r="K207" s="388"/>
      <c r="L207" s="388"/>
      <c r="M207" s="657"/>
      <c r="N207" s="388"/>
      <c r="O207" s="409"/>
      <c r="P207" s="409"/>
      <c r="Q207" s="409"/>
      <c r="R207" s="409"/>
      <c r="S207" s="409"/>
      <c r="T207" s="409"/>
      <c r="U207" s="409"/>
      <c r="V207" s="409"/>
      <c r="W207" s="409"/>
      <c r="X207" s="409"/>
      <c r="Y207" s="409"/>
      <c r="Z207" s="409"/>
      <c r="AA207" s="409"/>
    </row>
    <row r="208" spans="1:35" x14ac:dyDescent="0.25">
      <c r="B208" s="229"/>
      <c r="C208" s="388"/>
      <c r="D208" s="388"/>
      <c r="E208" s="388"/>
      <c r="F208" s="388"/>
      <c r="G208" s="388"/>
      <c r="H208" s="388"/>
      <c r="I208" s="388"/>
      <c r="J208" s="388"/>
      <c r="K208" s="388"/>
      <c r="L208" s="388"/>
      <c r="M208" s="657"/>
      <c r="N208" s="388"/>
      <c r="O208" s="409"/>
      <c r="P208" s="409"/>
      <c r="Q208" s="409"/>
      <c r="R208" s="409"/>
      <c r="S208" s="409"/>
      <c r="T208" s="409"/>
      <c r="U208" s="409"/>
      <c r="V208" s="409"/>
      <c r="W208" s="409"/>
      <c r="X208" s="409"/>
      <c r="Y208" s="409"/>
      <c r="Z208" s="409"/>
      <c r="AA208" s="409"/>
    </row>
    <row r="209" spans="1:35" x14ac:dyDescent="0.25">
      <c r="B209" s="229"/>
      <c r="C209" s="388"/>
      <c r="D209" s="388"/>
      <c r="E209" s="388"/>
      <c r="F209" s="388"/>
      <c r="G209" s="388"/>
      <c r="H209" s="388"/>
      <c r="I209" s="388"/>
      <c r="J209" s="388"/>
      <c r="K209" s="388"/>
      <c r="L209" s="388"/>
      <c r="M209" s="657"/>
      <c r="N209" s="388"/>
      <c r="O209" s="409"/>
      <c r="P209" s="409"/>
      <c r="Q209" s="409"/>
      <c r="R209" s="409"/>
      <c r="S209" s="409"/>
      <c r="T209" s="409"/>
      <c r="U209" s="409"/>
      <c r="V209" s="409"/>
      <c r="W209" s="409"/>
      <c r="X209" s="409"/>
      <c r="Y209" s="409"/>
      <c r="Z209" s="409"/>
      <c r="AA209" s="409"/>
    </row>
    <row r="210" spans="1:35" x14ac:dyDescent="0.25">
      <c r="B210" s="229"/>
      <c r="C210" s="388"/>
      <c r="D210" s="388"/>
      <c r="E210" s="388"/>
      <c r="F210" s="388"/>
      <c r="G210" s="388"/>
      <c r="H210" s="388"/>
      <c r="I210" s="388"/>
      <c r="J210" s="388"/>
      <c r="K210" s="388"/>
      <c r="L210" s="388"/>
      <c r="M210" s="657"/>
      <c r="N210" s="388"/>
      <c r="O210" s="409"/>
      <c r="P210" s="409"/>
      <c r="Q210" s="409"/>
      <c r="R210" s="409"/>
      <c r="S210" s="409"/>
      <c r="T210" s="409"/>
      <c r="U210" s="409"/>
      <c r="V210" s="409"/>
      <c r="W210" s="409"/>
      <c r="X210" s="409"/>
      <c r="Y210" s="409"/>
      <c r="Z210" s="409"/>
      <c r="AA210" s="409"/>
      <c r="AC210" s="420"/>
      <c r="AD210" s="229"/>
      <c r="AE210" s="229"/>
    </row>
    <row r="211" spans="1:35" x14ac:dyDescent="0.25">
      <c r="B211" s="229"/>
      <c r="C211" s="388"/>
      <c r="D211" s="388"/>
      <c r="E211" s="388"/>
      <c r="F211" s="388"/>
      <c r="G211" s="388"/>
      <c r="H211" s="388"/>
      <c r="I211" s="388"/>
      <c r="J211" s="388"/>
      <c r="K211" s="388"/>
      <c r="L211" s="388"/>
      <c r="M211" s="657"/>
      <c r="N211" s="388"/>
      <c r="O211" s="409"/>
      <c r="P211" s="409"/>
      <c r="Q211" s="409"/>
      <c r="R211" s="409"/>
      <c r="S211" s="409"/>
      <c r="T211" s="409"/>
      <c r="U211" s="409"/>
      <c r="V211" s="409"/>
      <c r="W211" s="409"/>
      <c r="X211" s="409"/>
      <c r="Y211" s="409"/>
      <c r="Z211" s="409"/>
      <c r="AA211" s="409"/>
      <c r="AC211" s="420"/>
      <c r="AD211" s="389"/>
      <c r="AE211" s="389"/>
      <c r="AF211" s="229"/>
      <c r="AG211" s="229"/>
      <c r="AH211" s="229"/>
      <c r="AI211" s="229"/>
    </row>
    <row r="212" spans="1:35" x14ac:dyDescent="0.25">
      <c r="B212" s="229"/>
      <c r="C212" s="388"/>
      <c r="D212" s="388"/>
      <c r="E212" s="388"/>
      <c r="F212" s="388"/>
      <c r="G212" s="388"/>
      <c r="H212" s="388"/>
      <c r="I212" s="388"/>
      <c r="J212" s="388"/>
      <c r="K212" s="388"/>
      <c r="L212" s="388"/>
      <c r="M212" s="657"/>
      <c r="N212" s="388"/>
      <c r="O212" s="409"/>
      <c r="P212" s="409"/>
      <c r="Q212" s="409"/>
      <c r="R212" s="409"/>
      <c r="S212" s="409"/>
      <c r="T212" s="409"/>
      <c r="U212" s="409"/>
      <c r="V212" s="409"/>
      <c r="W212" s="409"/>
      <c r="X212" s="409"/>
      <c r="Y212" s="409"/>
      <c r="Z212" s="409"/>
      <c r="AA212" s="409"/>
      <c r="AD212" s="389"/>
      <c r="AE212" s="389"/>
      <c r="AF212" s="229"/>
      <c r="AG212" s="229"/>
      <c r="AH212" s="229"/>
      <c r="AI212" s="229"/>
    </row>
    <row r="213" spans="1:35" x14ac:dyDescent="0.25">
      <c r="B213" s="229"/>
      <c r="C213" s="388"/>
      <c r="D213" s="388"/>
      <c r="E213" s="388"/>
      <c r="F213" s="388"/>
      <c r="G213" s="388"/>
      <c r="H213" s="388"/>
      <c r="I213" s="388"/>
      <c r="J213" s="388"/>
      <c r="K213" s="388"/>
      <c r="L213" s="388"/>
      <c r="M213" s="657"/>
      <c r="N213" s="388"/>
      <c r="O213" s="409"/>
      <c r="P213" s="409"/>
      <c r="Q213" s="409"/>
      <c r="R213" s="409"/>
      <c r="S213" s="409"/>
      <c r="T213" s="409"/>
      <c r="U213" s="409"/>
      <c r="V213" s="409"/>
      <c r="W213" s="409"/>
      <c r="X213" s="409"/>
      <c r="Y213" s="409"/>
      <c r="Z213" s="409"/>
      <c r="AA213" s="409"/>
      <c r="AD213" s="389"/>
      <c r="AE213" s="389"/>
      <c r="AF213" s="229"/>
      <c r="AG213" s="229"/>
      <c r="AH213" s="229"/>
      <c r="AI213" s="229"/>
    </row>
    <row r="214" spans="1:35" x14ac:dyDescent="0.25">
      <c r="B214" s="406"/>
      <c r="C214" s="388"/>
      <c r="D214" s="388"/>
      <c r="E214" s="388"/>
      <c r="F214" s="388"/>
      <c r="G214" s="388"/>
      <c r="H214" s="388"/>
      <c r="I214" s="388"/>
      <c r="J214" s="388"/>
      <c r="K214" s="388"/>
      <c r="L214" s="388"/>
      <c r="M214" s="657"/>
      <c r="N214" s="388"/>
      <c r="O214" s="409"/>
      <c r="P214" s="409"/>
      <c r="Q214" s="409"/>
      <c r="R214" s="409"/>
      <c r="S214" s="409"/>
      <c r="T214" s="409"/>
      <c r="U214" s="409"/>
      <c r="V214" s="409"/>
      <c r="W214" s="409"/>
      <c r="X214" s="409"/>
      <c r="Y214" s="409"/>
      <c r="Z214" s="409"/>
      <c r="AA214" s="409"/>
      <c r="AD214" s="389"/>
      <c r="AE214" s="389"/>
      <c r="AF214" s="229"/>
      <c r="AG214" s="229"/>
      <c r="AH214" s="229"/>
      <c r="AI214" s="229"/>
    </row>
    <row r="215" spans="1:35" x14ac:dyDescent="0.25">
      <c r="AD215" s="389"/>
      <c r="AE215" s="389"/>
      <c r="AF215" s="229"/>
      <c r="AG215" s="229"/>
      <c r="AH215" s="229"/>
      <c r="AI215" s="229"/>
    </row>
    <row r="216" spans="1:35" x14ac:dyDescent="0.25">
      <c r="B216" s="421"/>
      <c r="AD216" s="389"/>
      <c r="AE216" s="389"/>
      <c r="AF216" s="229"/>
      <c r="AG216" s="229"/>
      <c r="AH216" s="229"/>
      <c r="AI216" s="229"/>
    </row>
    <row r="217" spans="1:35" x14ac:dyDescent="0.25">
      <c r="A217" s="404"/>
      <c r="B217" s="421"/>
      <c r="AD217" s="389"/>
      <c r="AE217" s="389"/>
      <c r="AF217" s="229"/>
      <c r="AG217" s="229"/>
      <c r="AH217" s="229"/>
      <c r="AI217" s="229"/>
    </row>
    <row r="218" spans="1:35" x14ac:dyDescent="0.25">
      <c r="A218" s="404"/>
      <c r="B218" s="421"/>
      <c r="D218" s="409"/>
      <c r="AD218" s="389"/>
      <c r="AE218" s="389"/>
      <c r="AF218" s="229"/>
      <c r="AG218" s="229"/>
      <c r="AH218" s="229"/>
      <c r="AI218" s="229"/>
    </row>
    <row r="219" spans="1:35" x14ac:dyDescent="0.25">
      <c r="A219" s="404"/>
      <c r="B219" s="421" t="s">
        <v>292</v>
      </c>
      <c r="D219" s="412">
        <f>D61/B185</f>
        <v>0.48333333333333334</v>
      </c>
      <c r="AD219" s="389"/>
      <c r="AE219" s="389"/>
      <c r="AF219" s="229"/>
      <c r="AG219" s="229"/>
      <c r="AH219" s="229"/>
      <c r="AI219" s="229"/>
    </row>
    <row r="220" spans="1:35" ht="45" x14ac:dyDescent="0.25">
      <c r="B220" t="s">
        <v>293</v>
      </c>
      <c r="C220" s="395" t="s">
        <v>294</v>
      </c>
      <c r="D220" s="395" t="s">
        <v>295</v>
      </c>
      <c r="E220" s="395" t="s">
        <v>296</v>
      </c>
      <c r="F220" s="395"/>
      <c r="G220" s="395"/>
      <c r="H220" s="395"/>
      <c r="I220" s="395"/>
      <c r="J220" s="395"/>
      <c r="K220" s="395"/>
      <c r="L220" s="395"/>
      <c r="M220" s="658"/>
      <c r="N220" s="395" t="s">
        <v>297</v>
      </c>
      <c r="O220" s="395" t="s">
        <v>298</v>
      </c>
      <c r="P220" s="395"/>
      <c r="Q220" s="395"/>
      <c r="R220" s="395"/>
      <c r="S220" s="395"/>
      <c r="T220" s="395"/>
      <c r="U220" s="395"/>
      <c r="V220" s="395"/>
      <c r="W220" s="395"/>
      <c r="X220" s="395" t="s">
        <v>299</v>
      </c>
      <c r="Y220" s="395"/>
      <c r="Z220" s="395"/>
      <c r="AA220" s="395" t="s">
        <v>300</v>
      </c>
      <c r="AB220" s="395" t="s">
        <v>301</v>
      </c>
      <c r="AC220" s="395" t="s">
        <v>302</v>
      </c>
      <c r="AD220" s="395" t="s">
        <v>303</v>
      </c>
      <c r="AE220" s="395"/>
      <c r="AF220" s="229"/>
      <c r="AG220" s="229"/>
      <c r="AH220" s="229"/>
      <c r="AI220" s="229"/>
    </row>
    <row r="221" spans="1:35" x14ac:dyDescent="0.25">
      <c r="B221">
        <v>0.02</v>
      </c>
      <c r="C221" s="229">
        <f t="shared" ref="C221:C244" si="32">PI()*B221^2</f>
        <v>1.2566370614359172E-3</v>
      </c>
      <c r="D221" s="229">
        <f>C221</f>
        <v>1.2566370614359172E-3</v>
      </c>
      <c r="E221" s="409">
        <f t="shared" ref="E221:E244" si="33">$C$174*B221*2/$B$177+$B$191+$B$192</f>
        <v>93.412317737144718</v>
      </c>
      <c r="F221" s="409"/>
      <c r="G221" s="409"/>
      <c r="H221" s="409"/>
      <c r="I221" s="409"/>
      <c r="J221" s="409"/>
      <c r="K221" s="409"/>
      <c r="L221" s="409"/>
      <c r="M221" s="660"/>
      <c r="N221" s="422">
        <v>0.25</v>
      </c>
      <c r="O221" s="396">
        <f t="shared" ref="O221:O244" si="34">D221*640*$D$61</f>
        <v>2332.3183860250624</v>
      </c>
      <c r="P221" s="396"/>
      <c r="Q221" s="396"/>
      <c r="R221" s="396"/>
      <c r="S221" s="396"/>
      <c r="T221" s="396"/>
      <c r="U221" s="396"/>
      <c r="V221" s="396"/>
      <c r="W221" s="396"/>
      <c r="X221" s="396">
        <f>O221</f>
        <v>2332.3183860250624</v>
      </c>
      <c r="Y221" s="396"/>
      <c r="Z221" s="396"/>
      <c r="AA221" s="396">
        <f t="shared" ref="AA221:AA244" si="35">O221/$B$181</f>
        <v>103.93575695298851</v>
      </c>
      <c r="AB221" s="396">
        <f>AA221</f>
        <v>103.93575695298851</v>
      </c>
      <c r="AC221" s="388">
        <f>IF(E221*AA221&gt;0,E221*AA221,"")</f>
        <v>9708.8799527432111</v>
      </c>
      <c r="AD221" s="409">
        <f>IF(O221&gt;0,E221/$B$181,"")</f>
        <v>4.162759257448517</v>
      </c>
      <c r="AE221" s="409"/>
    </row>
    <row r="222" spans="1:35" x14ac:dyDescent="0.25">
      <c r="B222">
        <v>0.04</v>
      </c>
      <c r="C222" s="229">
        <f t="shared" si="32"/>
        <v>5.0265482457436689E-3</v>
      </c>
      <c r="D222" s="229">
        <f>C222-D221</f>
        <v>3.7699111843077517E-3</v>
      </c>
      <c r="E222" s="409">
        <f t="shared" si="33"/>
        <v>93.666317737144709</v>
      </c>
      <c r="F222" s="409"/>
      <c r="G222" s="409"/>
      <c r="H222" s="409"/>
      <c r="I222" s="409"/>
      <c r="J222" s="409"/>
      <c r="K222" s="409"/>
      <c r="L222" s="409"/>
      <c r="M222" s="660"/>
      <c r="N222" s="422">
        <v>0.25</v>
      </c>
      <c r="O222" s="396">
        <f t="shared" si="34"/>
        <v>6996.9551580751877</v>
      </c>
      <c r="P222" s="396"/>
      <c r="Q222" s="396"/>
      <c r="R222" s="396"/>
      <c r="S222" s="396"/>
      <c r="T222" s="396"/>
      <c r="U222" s="396"/>
      <c r="V222" s="396"/>
      <c r="W222" s="396"/>
      <c r="X222" s="396">
        <f t="shared" ref="X222:X244" si="36">O222+X221</f>
        <v>9329.2735441002496</v>
      </c>
      <c r="Y222" s="396"/>
      <c r="Z222" s="396"/>
      <c r="AA222" s="396">
        <f t="shared" si="35"/>
        <v>311.80727085896558</v>
      </c>
      <c r="AB222" s="396">
        <f>AA222+AB221</f>
        <v>415.74302781195411</v>
      </c>
      <c r="AC222" s="388">
        <f t="shared" ref="AC222:AC244" si="37">E222*AA222</f>
        <v>29205.838905027813</v>
      </c>
      <c r="AD222" s="409">
        <f t="shared" ref="AD222:AD244" si="38">IF(AC222&gt;0,E222/$B$181,0)</f>
        <v>4.1740783305322955</v>
      </c>
      <c r="AE222" s="409"/>
    </row>
    <row r="223" spans="1:35" x14ac:dyDescent="0.25">
      <c r="B223">
        <v>0.06</v>
      </c>
      <c r="C223" s="229">
        <f t="shared" si="32"/>
        <v>1.1309733552923255E-2</v>
      </c>
      <c r="D223" s="229">
        <f t="shared" ref="D223:D244" si="39">C223-D222</f>
        <v>7.5398223686155025E-3</v>
      </c>
      <c r="E223" s="409">
        <f t="shared" si="33"/>
        <v>93.920317737144714</v>
      </c>
      <c r="F223" s="409"/>
      <c r="G223" s="409"/>
      <c r="H223" s="409"/>
      <c r="I223" s="409"/>
      <c r="J223" s="409"/>
      <c r="K223" s="409"/>
      <c r="L223" s="409"/>
      <c r="M223" s="660"/>
      <c r="N223" s="422">
        <v>0.25</v>
      </c>
      <c r="O223" s="396">
        <f t="shared" si="34"/>
        <v>13993.910316150372</v>
      </c>
      <c r="P223" s="396"/>
      <c r="Q223" s="396"/>
      <c r="R223" s="396"/>
      <c r="S223" s="396"/>
      <c r="T223" s="396"/>
      <c r="U223" s="396"/>
      <c r="V223" s="396"/>
      <c r="W223" s="396"/>
      <c r="X223" s="396">
        <f t="shared" si="36"/>
        <v>23323.183860250621</v>
      </c>
      <c r="Y223" s="396"/>
      <c r="Z223" s="396"/>
      <c r="AA223" s="396">
        <f t="shared" si="35"/>
        <v>623.61454171793093</v>
      </c>
      <c r="AB223" s="396">
        <f t="shared" ref="AB223:AB244" si="40">AA223+AB222</f>
        <v>1039.357569529885</v>
      </c>
      <c r="AC223" s="388">
        <f t="shared" si="37"/>
        <v>58570.075903651959</v>
      </c>
      <c r="AD223" s="409">
        <f t="shared" si="38"/>
        <v>4.1853974036160739</v>
      </c>
      <c r="AE223" s="409"/>
    </row>
    <row r="224" spans="1:35" x14ac:dyDescent="0.25">
      <c r="B224">
        <v>0.08</v>
      </c>
      <c r="C224" s="229">
        <f t="shared" si="32"/>
        <v>2.0106192982974676E-2</v>
      </c>
      <c r="D224" s="229">
        <f t="shared" si="39"/>
        <v>1.2566370614359173E-2</v>
      </c>
      <c r="E224" s="409">
        <f t="shared" si="33"/>
        <v>94.174317737144719</v>
      </c>
      <c r="F224" s="409"/>
      <c r="G224" s="409"/>
      <c r="H224" s="409"/>
      <c r="I224" s="409"/>
      <c r="J224" s="409"/>
      <c r="K224" s="409"/>
      <c r="L224" s="409"/>
      <c r="M224" s="660"/>
      <c r="N224" s="422">
        <v>0.25</v>
      </c>
      <c r="O224" s="396">
        <f t="shared" si="34"/>
        <v>23323.183860250625</v>
      </c>
      <c r="P224" s="396"/>
      <c r="Q224" s="396"/>
      <c r="R224" s="396"/>
      <c r="S224" s="396"/>
      <c r="T224" s="396"/>
      <c r="U224" s="396"/>
      <c r="V224" s="396"/>
      <c r="W224" s="396"/>
      <c r="X224" s="396">
        <f t="shared" si="36"/>
        <v>46646.36772050125</v>
      </c>
      <c r="Y224" s="396"/>
      <c r="Z224" s="396"/>
      <c r="AA224" s="396">
        <f t="shared" si="35"/>
        <v>1039.3575695298853</v>
      </c>
      <c r="AB224" s="396">
        <f t="shared" si="40"/>
        <v>2078.7151390597701</v>
      </c>
      <c r="AC224" s="388">
        <f t="shared" si="37"/>
        <v>97880.789995413899</v>
      </c>
      <c r="AD224" s="409">
        <f t="shared" si="38"/>
        <v>4.1967164766998533</v>
      </c>
      <c r="AE224" s="409"/>
    </row>
    <row r="225" spans="2:31" x14ac:dyDescent="0.25">
      <c r="B225">
        <v>0.1</v>
      </c>
      <c r="C225" s="229">
        <f t="shared" si="32"/>
        <v>3.1415926535897934E-2</v>
      </c>
      <c r="D225" s="229">
        <f t="shared" si="39"/>
        <v>1.8849555921538759E-2</v>
      </c>
      <c r="E225" s="409">
        <f t="shared" si="33"/>
        <v>94.42831773714471</v>
      </c>
      <c r="F225" s="409"/>
      <c r="G225" s="409"/>
      <c r="H225" s="409"/>
      <c r="I225" s="409"/>
      <c r="J225" s="409"/>
      <c r="K225" s="409"/>
      <c r="L225" s="409"/>
      <c r="M225" s="660"/>
      <c r="N225" s="422">
        <v>0.25</v>
      </c>
      <c r="O225" s="396">
        <f t="shared" si="34"/>
        <v>34984.775790375934</v>
      </c>
      <c r="P225" s="396"/>
      <c r="Q225" s="396"/>
      <c r="R225" s="396"/>
      <c r="S225" s="396"/>
      <c r="T225" s="396"/>
      <c r="U225" s="396"/>
      <c r="V225" s="396"/>
      <c r="W225" s="396"/>
      <c r="X225" s="396">
        <f t="shared" si="36"/>
        <v>81631.143510877184</v>
      </c>
      <c r="Y225" s="396"/>
      <c r="Z225" s="396"/>
      <c r="AA225" s="396">
        <f t="shared" si="35"/>
        <v>1559.0363542948276</v>
      </c>
      <c r="AB225" s="396">
        <f t="shared" si="40"/>
        <v>3637.7514933545976</v>
      </c>
      <c r="AC225" s="388">
        <f t="shared" si="37"/>
        <v>147217.18022711168</v>
      </c>
      <c r="AD225" s="409">
        <f t="shared" si="38"/>
        <v>4.2080355497836317</v>
      </c>
      <c r="AE225" s="409"/>
    </row>
    <row r="226" spans="2:31" x14ac:dyDescent="0.25">
      <c r="B226">
        <v>0.12000000000000001</v>
      </c>
      <c r="C226" s="229">
        <f t="shared" si="32"/>
        <v>4.5238934211693033E-2</v>
      </c>
      <c r="D226" s="229">
        <f t="shared" si="39"/>
        <v>2.6389378290154274E-2</v>
      </c>
      <c r="E226" s="409">
        <f t="shared" si="33"/>
        <v>94.682317737144714</v>
      </c>
      <c r="F226" s="409"/>
      <c r="G226" s="409"/>
      <c r="H226" s="409"/>
      <c r="I226" s="409"/>
      <c r="J226" s="409"/>
      <c r="K226" s="409"/>
      <c r="L226" s="409"/>
      <c r="M226" s="660"/>
      <c r="N226" s="422">
        <v>0.25</v>
      </c>
      <c r="O226" s="396">
        <f t="shared" si="34"/>
        <v>48978.686106526337</v>
      </c>
      <c r="P226" s="396"/>
      <c r="Q226" s="396"/>
      <c r="R226" s="396"/>
      <c r="S226" s="396"/>
      <c r="T226" s="396"/>
      <c r="U226" s="396"/>
      <c r="V226" s="396"/>
      <c r="W226" s="396"/>
      <c r="X226" s="396">
        <f t="shared" si="36"/>
        <v>130609.82961740352</v>
      </c>
      <c r="Y226" s="396"/>
      <c r="Z226" s="396"/>
      <c r="AA226" s="396">
        <f t="shared" si="35"/>
        <v>2182.6508960127599</v>
      </c>
      <c r="AB226" s="396">
        <f t="shared" si="40"/>
        <v>5820.4023893673575</v>
      </c>
      <c r="AC226" s="388">
        <f t="shared" si="37"/>
        <v>206658.44564554375</v>
      </c>
      <c r="AD226" s="409">
        <f t="shared" si="38"/>
        <v>4.219354622867411</v>
      </c>
      <c r="AE226" s="409"/>
    </row>
    <row r="227" spans="2:31" x14ac:dyDescent="0.25">
      <c r="B227">
        <v>0.13999999999999999</v>
      </c>
      <c r="C227" s="229">
        <f t="shared" si="32"/>
        <v>6.157521601035993E-2</v>
      </c>
      <c r="D227" s="229">
        <f t="shared" si="39"/>
        <v>3.5185837720205657E-2</v>
      </c>
      <c r="E227" s="409">
        <f t="shared" si="33"/>
        <v>94.936317737144719</v>
      </c>
      <c r="F227" s="409"/>
      <c r="G227" s="409"/>
      <c r="H227" s="409"/>
      <c r="I227" s="409"/>
      <c r="J227" s="409"/>
      <c r="K227" s="409"/>
      <c r="L227" s="409"/>
      <c r="M227" s="660"/>
      <c r="N227" s="422">
        <v>0.25</v>
      </c>
      <c r="O227" s="396">
        <f t="shared" si="34"/>
        <v>65304.914808701702</v>
      </c>
      <c r="P227" s="396"/>
      <c r="Q227" s="396"/>
      <c r="R227" s="396"/>
      <c r="S227" s="396"/>
      <c r="T227" s="396"/>
      <c r="U227" s="396"/>
      <c r="V227" s="396"/>
      <c r="W227" s="396"/>
      <c r="X227" s="396">
        <f t="shared" si="36"/>
        <v>195914.74442610523</v>
      </c>
      <c r="Y227" s="396"/>
      <c r="Z227" s="396"/>
      <c r="AA227" s="396">
        <f t="shared" si="35"/>
        <v>2910.2011946836765</v>
      </c>
      <c r="AB227" s="396">
        <f t="shared" si="40"/>
        <v>8730.603584051034</v>
      </c>
      <c r="AC227" s="388">
        <f t="shared" si="37"/>
        <v>276283.78529750765</v>
      </c>
      <c r="AD227" s="409">
        <f t="shared" si="38"/>
        <v>4.2306736959511904</v>
      </c>
      <c r="AE227" s="409"/>
    </row>
    <row r="228" spans="2:31" x14ac:dyDescent="0.25">
      <c r="B228">
        <v>0.16</v>
      </c>
      <c r="C228" s="229">
        <f t="shared" si="32"/>
        <v>8.0424771931898703E-2</v>
      </c>
      <c r="D228" s="229">
        <f t="shared" si="39"/>
        <v>4.5238934211693047E-2</v>
      </c>
      <c r="E228" s="409">
        <f t="shared" si="33"/>
        <v>95.19031773714471</v>
      </c>
      <c r="F228" s="409"/>
      <c r="G228" s="409"/>
      <c r="H228" s="409"/>
      <c r="I228" s="409"/>
      <c r="J228" s="409"/>
      <c r="K228" s="409"/>
      <c r="L228" s="409"/>
      <c r="M228" s="660"/>
      <c r="N228" s="422">
        <v>0.25</v>
      </c>
      <c r="O228" s="396">
        <f t="shared" si="34"/>
        <v>83963.461896902299</v>
      </c>
      <c r="P228" s="396"/>
      <c r="Q228" s="396"/>
      <c r="R228" s="396"/>
      <c r="S228" s="396"/>
      <c r="T228" s="396"/>
      <c r="U228" s="396"/>
      <c r="V228" s="396"/>
      <c r="W228" s="396"/>
      <c r="X228" s="396">
        <f t="shared" si="36"/>
        <v>279878.20632300753</v>
      </c>
      <c r="Y228" s="396"/>
      <c r="Z228" s="396"/>
      <c r="AA228" s="396">
        <f t="shared" si="35"/>
        <v>3741.6872503075888</v>
      </c>
      <c r="AB228" s="396">
        <f t="shared" si="40"/>
        <v>12472.290834358622</v>
      </c>
      <c r="AC228" s="388">
        <f t="shared" si="37"/>
        <v>356172.39822980267</v>
      </c>
      <c r="AD228" s="409">
        <f t="shared" si="38"/>
        <v>4.2419927690349688</v>
      </c>
      <c r="AE228" s="409"/>
    </row>
    <row r="229" spans="2:31" x14ac:dyDescent="0.25">
      <c r="B229">
        <v>0.18</v>
      </c>
      <c r="C229" s="229">
        <f t="shared" si="32"/>
        <v>0.10178760197630929</v>
      </c>
      <c r="D229" s="229">
        <f t="shared" si="39"/>
        <v>5.6548667764616242E-2</v>
      </c>
      <c r="E229" s="409">
        <f t="shared" si="33"/>
        <v>95.444317737144715</v>
      </c>
      <c r="F229" s="409"/>
      <c r="G229" s="409"/>
      <c r="H229" s="409"/>
      <c r="I229" s="409"/>
      <c r="J229" s="409"/>
      <c r="K229" s="409"/>
      <c r="L229" s="409"/>
      <c r="M229" s="660"/>
      <c r="N229" s="422">
        <v>0.25</v>
      </c>
      <c r="O229" s="396">
        <f t="shared" si="34"/>
        <v>104954.32737112776</v>
      </c>
      <c r="P229" s="396"/>
      <c r="Q229" s="396"/>
      <c r="R229" s="396"/>
      <c r="S229" s="396"/>
      <c r="T229" s="396"/>
      <c r="U229" s="396"/>
      <c r="V229" s="396"/>
      <c r="W229" s="396"/>
      <c r="X229" s="396">
        <f t="shared" si="36"/>
        <v>384832.53369413526</v>
      </c>
      <c r="Y229" s="396"/>
      <c r="Z229" s="396"/>
      <c r="AA229" s="396">
        <f t="shared" si="35"/>
        <v>4677.1090628844813</v>
      </c>
      <c r="AB229" s="396">
        <f t="shared" si="40"/>
        <v>17149.399897243104</v>
      </c>
      <c r="AC229" s="388">
        <f t="shared" si="37"/>
        <v>446403.48348922562</v>
      </c>
      <c r="AD229" s="409">
        <f t="shared" si="38"/>
        <v>4.2533118421187481</v>
      </c>
      <c r="AE229" s="409"/>
    </row>
    <row r="230" spans="2:31" x14ac:dyDescent="0.25">
      <c r="B230">
        <v>0.19999999999999998</v>
      </c>
      <c r="C230" s="229">
        <f t="shared" si="32"/>
        <v>0.12566370614359171</v>
      </c>
      <c r="D230" s="229">
        <f t="shared" si="39"/>
        <v>6.9115038378975466E-2</v>
      </c>
      <c r="E230" s="409">
        <f t="shared" si="33"/>
        <v>95.69831773714472</v>
      </c>
      <c r="F230" s="409"/>
      <c r="G230" s="409"/>
      <c r="H230" s="409"/>
      <c r="I230" s="409"/>
      <c r="J230" s="409"/>
      <c r="K230" s="409"/>
      <c r="L230" s="409"/>
      <c r="M230" s="660"/>
      <c r="N230" s="422">
        <v>0.25</v>
      </c>
      <c r="O230" s="396">
        <f t="shared" si="34"/>
        <v>128277.51123137846</v>
      </c>
      <c r="P230" s="396"/>
      <c r="Q230" s="396"/>
      <c r="R230" s="396"/>
      <c r="S230" s="396"/>
      <c r="T230" s="396"/>
      <c r="U230" s="396"/>
      <c r="V230" s="396"/>
      <c r="W230" s="396"/>
      <c r="X230" s="396">
        <f t="shared" si="36"/>
        <v>513110.04492551374</v>
      </c>
      <c r="Y230" s="396"/>
      <c r="Z230" s="396"/>
      <c r="AA230" s="396">
        <f t="shared" si="35"/>
        <v>5716.46663241437</v>
      </c>
      <c r="AB230" s="396">
        <f t="shared" si="40"/>
        <v>22865.866529657473</v>
      </c>
      <c r="AC230" s="388">
        <f t="shared" si="37"/>
        <v>547056.24012257601</v>
      </c>
      <c r="AD230" s="409">
        <f t="shared" si="38"/>
        <v>4.2646309152025275</v>
      </c>
      <c r="AE230" s="409"/>
    </row>
    <row r="231" spans="2:31" x14ac:dyDescent="0.25">
      <c r="B231">
        <v>0.22</v>
      </c>
      <c r="C231" s="229">
        <f t="shared" si="32"/>
        <v>0.15205308443374599</v>
      </c>
      <c r="D231" s="229">
        <f t="shared" si="39"/>
        <v>8.2938046054770523E-2</v>
      </c>
      <c r="E231" s="409">
        <f t="shared" si="33"/>
        <v>95.95231773714471</v>
      </c>
      <c r="F231" s="409"/>
      <c r="G231" s="409"/>
      <c r="H231" s="409"/>
      <c r="I231" s="409"/>
      <c r="J231" s="409"/>
      <c r="K231" s="409"/>
      <c r="L231" s="409"/>
      <c r="M231" s="660"/>
      <c r="N231" s="422">
        <v>0.25</v>
      </c>
      <c r="O231" s="396">
        <f t="shared" si="34"/>
        <v>153933.01347765408</v>
      </c>
      <c r="P231" s="396"/>
      <c r="Q231" s="396"/>
      <c r="R231" s="396"/>
      <c r="S231" s="396"/>
      <c r="T231" s="396"/>
      <c r="U231" s="396"/>
      <c r="V231" s="396"/>
      <c r="W231" s="396"/>
      <c r="X231" s="396">
        <f t="shared" si="36"/>
        <v>667043.05840316787</v>
      </c>
      <c r="Y231" s="396"/>
      <c r="Z231" s="396"/>
      <c r="AA231" s="396">
        <f t="shared" si="35"/>
        <v>6859.7599588972398</v>
      </c>
      <c r="AB231" s="396">
        <f t="shared" si="40"/>
        <v>29725.626488554713</v>
      </c>
      <c r="AC231" s="388">
        <f t="shared" si="37"/>
        <v>658209.86717665067</v>
      </c>
      <c r="AD231" s="409">
        <f t="shared" si="38"/>
        <v>4.2759499882863059</v>
      </c>
      <c r="AE231" s="409"/>
    </row>
    <row r="232" spans="2:31" x14ac:dyDescent="0.25">
      <c r="B232">
        <v>0.24</v>
      </c>
      <c r="C232" s="229">
        <f t="shared" si="32"/>
        <v>0.18095573684677208</v>
      </c>
      <c r="D232" s="229">
        <f t="shared" si="39"/>
        <v>9.8017690792001552E-2</v>
      </c>
      <c r="E232" s="409">
        <f t="shared" si="33"/>
        <v>96.206317737144715</v>
      </c>
      <c r="F232" s="409"/>
      <c r="G232" s="409"/>
      <c r="H232" s="409"/>
      <c r="I232" s="409"/>
      <c r="J232" s="409"/>
      <c r="K232" s="409"/>
      <c r="L232" s="409"/>
      <c r="M232" s="660"/>
      <c r="N232" s="422">
        <v>0.25</v>
      </c>
      <c r="O232" s="396">
        <f t="shared" si="34"/>
        <v>181920.83410995489</v>
      </c>
      <c r="P232" s="396"/>
      <c r="Q232" s="396"/>
      <c r="R232" s="396"/>
      <c r="S232" s="396"/>
      <c r="T232" s="396"/>
      <c r="U232" s="396"/>
      <c r="V232" s="396"/>
      <c r="W232" s="396"/>
      <c r="X232" s="396">
        <f t="shared" si="36"/>
        <v>848963.89251312276</v>
      </c>
      <c r="Y232" s="396"/>
      <c r="Z232" s="396"/>
      <c r="AA232" s="396">
        <f t="shared" si="35"/>
        <v>8106.9890423331053</v>
      </c>
      <c r="AB232" s="396">
        <f t="shared" si="40"/>
        <v>37832.615530887822</v>
      </c>
      <c r="AC232" s="388">
        <f t="shared" si="37"/>
        <v>779943.56369824929</v>
      </c>
      <c r="AD232" s="409">
        <f t="shared" si="38"/>
        <v>4.2872690613700852</v>
      </c>
      <c r="AE232" s="409"/>
    </row>
    <row r="233" spans="2:31" x14ac:dyDescent="0.25">
      <c r="B233">
        <v>0.26</v>
      </c>
      <c r="C233" s="229">
        <f t="shared" si="32"/>
        <v>0.21237166338267005</v>
      </c>
      <c r="D233" s="229">
        <f t="shared" si="39"/>
        <v>0.1143539725906685</v>
      </c>
      <c r="E233" s="409">
        <f t="shared" si="33"/>
        <v>96.46031773714472</v>
      </c>
      <c r="F233" s="409"/>
      <c r="G233" s="409"/>
      <c r="H233" s="409"/>
      <c r="I233" s="409"/>
      <c r="J233" s="409"/>
      <c r="K233" s="409"/>
      <c r="L233" s="409"/>
      <c r="M233" s="660"/>
      <c r="N233" s="422">
        <v>0.25</v>
      </c>
      <c r="O233" s="396">
        <f t="shared" si="34"/>
        <v>212240.97312828075</v>
      </c>
      <c r="P233" s="396"/>
      <c r="Q233" s="396"/>
      <c r="R233" s="396"/>
      <c r="S233" s="396"/>
      <c r="T233" s="396"/>
      <c r="U233" s="396"/>
      <c r="V233" s="396"/>
      <c r="W233" s="396"/>
      <c r="X233" s="396">
        <f t="shared" si="36"/>
        <v>1061204.8656414035</v>
      </c>
      <c r="Y233" s="396"/>
      <c r="Z233" s="396"/>
      <c r="AA233" s="396">
        <f t="shared" si="35"/>
        <v>9458.1538827219574</v>
      </c>
      <c r="AB233" s="396">
        <f t="shared" si="40"/>
        <v>47290.769413609778</v>
      </c>
      <c r="AC233" s="388">
        <f t="shared" si="37"/>
        <v>912336.52873416909</v>
      </c>
      <c r="AD233" s="409">
        <f t="shared" si="38"/>
        <v>4.2985881344538646</v>
      </c>
      <c r="AE233" s="409"/>
    </row>
    <row r="234" spans="2:31" x14ac:dyDescent="0.25">
      <c r="B234">
        <v>0.28000000000000003</v>
      </c>
      <c r="C234" s="229">
        <f t="shared" si="32"/>
        <v>0.2463008640414398</v>
      </c>
      <c r="D234" s="229">
        <f t="shared" si="39"/>
        <v>0.13194689145077132</v>
      </c>
      <c r="E234" s="409">
        <f t="shared" si="33"/>
        <v>96.714317737144711</v>
      </c>
      <c r="F234" s="409"/>
      <c r="G234" s="409"/>
      <c r="H234" s="409"/>
      <c r="I234" s="409"/>
      <c r="J234" s="409"/>
      <c r="K234" s="409"/>
      <c r="L234" s="409"/>
      <c r="M234" s="660"/>
      <c r="N234" s="422">
        <v>0.25</v>
      </c>
      <c r="O234" s="396">
        <f t="shared" si="34"/>
        <v>244893.43053263158</v>
      </c>
      <c r="P234" s="396"/>
      <c r="Q234" s="396"/>
      <c r="R234" s="396"/>
      <c r="S234" s="396"/>
      <c r="T234" s="396"/>
      <c r="U234" s="396"/>
      <c r="V234" s="396"/>
      <c r="W234" s="396"/>
      <c r="X234" s="396">
        <f t="shared" si="36"/>
        <v>1306098.2961740349</v>
      </c>
      <c r="Y234" s="396"/>
      <c r="Z234" s="396"/>
      <c r="AA234" s="396">
        <f t="shared" si="35"/>
        <v>10913.254480063795</v>
      </c>
      <c r="AB234" s="396">
        <f t="shared" si="40"/>
        <v>58204.02389367357</v>
      </c>
      <c r="AC234" s="388">
        <f t="shared" si="37"/>
        <v>1055467.961331208</v>
      </c>
      <c r="AD234" s="409">
        <f t="shared" si="38"/>
        <v>4.309907207537643</v>
      </c>
      <c r="AE234" s="409"/>
    </row>
    <row r="235" spans="2:31" x14ac:dyDescent="0.25">
      <c r="B235">
        <v>0.3</v>
      </c>
      <c r="C235" s="229">
        <f t="shared" si="32"/>
        <v>0.28274333882308139</v>
      </c>
      <c r="D235" s="229">
        <f t="shared" si="39"/>
        <v>0.15079644737231007</v>
      </c>
      <c r="E235" s="409">
        <f t="shared" si="33"/>
        <v>96.968317737144716</v>
      </c>
      <c r="F235" s="409"/>
      <c r="G235" s="409"/>
      <c r="H235" s="409"/>
      <c r="I235" s="409"/>
      <c r="J235" s="409"/>
      <c r="K235" s="409"/>
      <c r="L235" s="409"/>
      <c r="M235" s="660"/>
      <c r="N235" s="422">
        <v>0.25</v>
      </c>
      <c r="O235" s="396">
        <f t="shared" si="34"/>
        <v>279878.20632300747</v>
      </c>
      <c r="P235" s="396"/>
      <c r="Q235" s="396"/>
      <c r="R235" s="396"/>
      <c r="S235" s="396"/>
      <c r="T235" s="396"/>
      <c r="U235" s="396"/>
      <c r="V235" s="396"/>
      <c r="W235" s="396"/>
      <c r="X235" s="396">
        <f t="shared" si="36"/>
        <v>1585976.5024970425</v>
      </c>
      <c r="Y235" s="396"/>
      <c r="Z235" s="396"/>
      <c r="AA235" s="396">
        <f t="shared" si="35"/>
        <v>12472.29083435862</v>
      </c>
      <c r="AB235" s="396">
        <f t="shared" si="40"/>
        <v>70676.314728032186</v>
      </c>
      <c r="AC235" s="388">
        <f t="shared" si="37"/>
        <v>1209417.0605361646</v>
      </c>
      <c r="AD235" s="409">
        <f t="shared" si="38"/>
        <v>4.3212262806214223</v>
      </c>
      <c r="AE235" s="409"/>
    </row>
    <row r="236" spans="2:31" x14ac:dyDescent="0.25">
      <c r="B236">
        <v>0.32</v>
      </c>
      <c r="C236" s="229">
        <f t="shared" si="32"/>
        <v>0.32169908772759481</v>
      </c>
      <c r="D236" s="229">
        <f t="shared" si="39"/>
        <v>0.17090264035528474</v>
      </c>
      <c r="E236" s="409">
        <f t="shared" si="33"/>
        <v>97.222317737144721</v>
      </c>
      <c r="F236" s="409"/>
      <c r="G236" s="409"/>
      <c r="H236" s="409"/>
      <c r="I236" s="409"/>
      <c r="J236" s="409"/>
      <c r="K236" s="409"/>
      <c r="L236" s="409"/>
      <c r="M236" s="660"/>
      <c r="N236" s="422">
        <v>0.25</v>
      </c>
      <c r="O236" s="396">
        <f t="shared" si="34"/>
        <v>317195.30049940845</v>
      </c>
      <c r="P236" s="396"/>
      <c r="Q236" s="396"/>
      <c r="R236" s="396"/>
      <c r="S236" s="396"/>
      <c r="T236" s="396"/>
      <c r="U236" s="396"/>
      <c r="V236" s="396"/>
      <c r="W236" s="396"/>
      <c r="X236" s="396">
        <f t="shared" si="36"/>
        <v>1903171.802996451</v>
      </c>
      <c r="Y236" s="396"/>
      <c r="Z236" s="396"/>
      <c r="AA236" s="396">
        <f t="shared" si="35"/>
        <v>14135.262945606437</v>
      </c>
      <c r="AB236" s="396">
        <f t="shared" si="40"/>
        <v>84811.577673638618</v>
      </c>
      <c r="AC236" s="388">
        <f t="shared" si="37"/>
        <v>1374263.0253958371</v>
      </c>
      <c r="AD236" s="409">
        <f t="shared" si="38"/>
        <v>4.3325453537052008</v>
      </c>
      <c r="AE236" s="409"/>
    </row>
    <row r="237" spans="2:31" x14ac:dyDescent="0.25">
      <c r="B237">
        <v>0.34</v>
      </c>
      <c r="C237" s="229">
        <f t="shared" si="32"/>
        <v>0.36316811075498018</v>
      </c>
      <c r="D237" s="229">
        <f t="shared" si="39"/>
        <v>0.19226547039969544</v>
      </c>
      <c r="E237" s="409">
        <f t="shared" si="33"/>
        <v>97.476317737144711</v>
      </c>
      <c r="F237" s="409"/>
      <c r="G237" s="409"/>
      <c r="H237" s="409"/>
      <c r="I237" s="409"/>
      <c r="J237" s="409"/>
      <c r="K237" s="409"/>
      <c r="L237" s="409"/>
      <c r="M237" s="660"/>
      <c r="N237" s="422">
        <v>0.25</v>
      </c>
      <c r="O237" s="396">
        <f t="shared" si="34"/>
        <v>356844.71306183474</v>
      </c>
      <c r="P237" s="396"/>
      <c r="Q237" s="396"/>
      <c r="R237" s="396"/>
      <c r="S237" s="396"/>
      <c r="T237" s="396"/>
      <c r="U237" s="396"/>
      <c r="V237" s="396"/>
      <c r="W237" s="396"/>
      <c r="X237" s="396">
        <f t="shared" si="36"/>
        <v>2260016.5160582857</v>
      </c>
      <c r="Y237" s="396"/>
      <c r="Z237" s="396"/>
      <c r="AA237" s="396">
        <f t="shared" si="35"/>
        <v>15902.170813807252</v>
      </c>
      <c r="AB237" s="396">
        <f t="shared" si="40"/>
        <v>100713.74848744588</v>
      </c>
      <c r="AC237" s="388">
        <f t="shared" si="37"/>
        <v>1550085.0549570248</v>
      </c>
      <c r="AD237" s="409">
        <f t="shared" si="38"/>
        <v>4.3438644267889801</v>
      </c>
      <c r="AE237" s="409"/>
    </row>
    <row r="238" spans="2:31" x14ac:dyDescent="0.25">
      <c r="B238">
        <v>0.36</v>
      </c>
      <c r="C238" s="229">
        <f t="shared" si="32"/>
        <v>0.40715040790523715</v>
      </c>
      <c r="D238" s="229">
        <f t="shared" si="39"/>
        <v>0.21488493750554172</v>
      </c>
      <c r="E238" s="409">
        <f t="shared" si="33"/>
        <v>97.730317737144716</v>
      </c>
      <c r="F238" s="409"/>
      <c r="G238" s="409"/>
      <c r="H238" s="409"/>
      <c r="I238" s="409"/>
      <c r="J238" s="409"/>
      <c r="K238" s="409"/>
      <c r="L238" s="409"/>
      <c r="M238" s="660"/>
      <c r="N238" s="422">
        <v>0.25</v>
      </c>
      <c r="O238" s="396">
        <f t="shared" si="34"/>
        <v>398826.44401028543</v>
      </c>
      <c r="P238" s="396"/>
      <c r="Q238" s="396"/>
      <c r="R238" s="396"/>
      <c r="S238" s="396"/>
      <c r="T238" s="396"/>
      <c r="U238" s="396"/>
      <c r="V238" s="396"/>
      <c r="W238" s="396"/>
      <c r="X238" s="396">
        <f t="shared" si="36"/>
        <v>2658842.9600685714</v>
      </c>
      <c r="Y238" s="396"/>
      <c r="Z238" s="396"/>
      <c r="AA238" s="396">
        <f t="shared" si="35"/>
        <v>17773.014438961025</v>
      </c>
      <c r="AB238" s="396">
        <f t="shared" si="40"/>
        <v>118486.7629264069</v>
      </c>
      <c r="AC238" s="388">
        <f t="shared" si="37"/>
        <v>1736962.3482665217</v>
      </c>
      <c r="AD238" s="409">
        <f t="shared" si="38"/>
        <v>4.3551834998727585</v>
      </c>
      <c r="AE238" s="409"/>
    </row>
    <row r="239" spans="2:31" x14ac:dyDescent="0.25">
      <c r="B239">
        <v>0.38</v>
      </c>
      <c r="C239" s="229">
        <f t="shared" si="32"/>
        <v>0.45364597917836613</v>
      </c>
      <c r="D239" s="229">
        <f t="shared" si="39"/>
        <v>0.23876104167282441</v>
      </c>
      <c r="E239" s="409">
        <f t="shared" si="33"/>
        <v>97.984317737144721</v>
      </c>
      <c r="F239" s="409"/>
      <c r="G239" s="409"/>
      <c r="H239" s="409"/>
      <c r="I239" s="409"/>
      <c r="J239" s="409"/>
      <c r="K239" s="409"/>
      <c r="L239" s="409"/>
      <c r="M239" s="660"/>
      <c r="N239" s="422">
        <v>0.25</v>
      </c>
      <c r="O239" s="396">
        <f t="shared" si="34"/>
        <v>443140.49334476213</v>
      </c>
      <c r="P239" s="396"/>
      <c r="Q239" s="396"/>
      <c r="R239" s="396"/>
      <c r="S239" s="396"/>
      <c r="T239" s="396"/>
      <c r="U239" s="396"/>
      <c r="V239" s="396"/>
      <c r="W239" s="396"/>
      <c r="X239" s="396">
        <f t="shared" si="36"/>
        <v>3101983.4534133337</v>
      </c>
      <c r="Y239" s="396"/>
      <c r="Z239" s="396"/>
      <c r="AA239" s="396">
        <f t="shared" si="35"/>
        <v>19747.793821067829</v>
      </c>
      <c r="AB239" s="396">
        <f t="shared" si="40"/>
        <v>138234.55674747474</v>
      </c>
      <c r="AC239" s="388">
        <f t="shared" si="37"/>
        <v>1934974.1043711335</v>
      </c>
      <c r="AD239" s="409">
        <f t="shared" si="38"/>
        <v>4.3665025729565379</v>
      </c>
      <c r="AE239" s="409"/>
    </row>
    <row r="240" spans="2:31" x14ac:dyDescent="0.25">
      <c r="B240">
        <v>0.4</v>
      </c>
      <c r="C240" s="229">
        <f t="shared" si="32"/>
        <v>0.50265482457436694</v>
      </c>
      <c r="D240" s="229">
        <f t="shared" si="39"/>
        <v>0.26389378290154253</v>
      </c>
      <c r="E240" s="409">
        <f t="shared" si="33"/>
        <v>98.238317737144712</v>
      </c>
      <c r="F240" s="409"/>
      <c r="G240" s="409"/>
      <c r="H240" s="409"/>
      <c r="I240" s="409"/>
      <c r="J240" s="409"/>
      <c r="K240" s="409"/>
      <c r="L240" s="409"/>
      <c r="M240" s="660"/>
      <c r="N240" s="422">
        <v>0.25</v>
      </c>
      <c r="O240" s="396">
        <f t="shared" si="34"/>
        <v>489786.86106526299</v>
      </c>
      <c r="P240" s="396"/>
      <c r="Q240" s="396"/>
      <c r="R240" s="396"/>
      <c r="S240" s="396"/>
      <c r="T240" s="396"/>
      <c r="U240" s="396"/>
      <c r="V240" s="396"/>
      <c r="W240" s="396"/>
      <c r="X240" s="396">
        <f t="shared" si="36"/>
        <v>3591770.3144785967</v>
      </c>
      <c r="Y240" s="396"/>
      <c r="Z240" s="396"/>
      <c r="AA240" s="396">
        <f t="shared" si="35"/>
        <v>21826.508960127583</v>
      </c>
      <c r="AB240" s="396">
        <f t="shared" si="40"/>
        <v>160061.06570760231</v>
      </c>
      <c r="AC240" s="388">
        <f t="shared" si="37"/>
        <v>2144199.5223176493</v>
      </c>
      <c r="AD240" s="409">
        <f t="shared" si="38"/>
        <v>4.3778216460403163</v>
      </c>
      <c r="AE240" s="409"/>
    </row>
    <row r="241" spans="2:31" x14ac:dyDescent="0.25">
      <c r="B241">
        <v>0.42000000000000004</v>
      </c>
      <c r="C241" s="229">
        <f t="shared" si="32"/>
        <v>0.55417694409323959</v>
      </c>
      <c r="D241" s="229">
        <f t="shared" si="39"/>
        <v>0.29028316119169706</v>
      </c>
      <c r="E241" s="409">
        <f t="shared" si="33"/>
        <v>98.492317737144717</v>
      </c>
      <c r="F241" s="409"/>
      <c r="G241" s="409"/>
      <c r="H241" s="409"/>
      <c r="I241" s="409"/>
      <c r="J241" s="409"/>
      <c r="K241" s="409"/>
      <c r="L241" s="409"/>
      <c r="M241" s="660"/>
      <c r="N241" s="422">
        <v>0.25</v>
      </c>
      <c r="O241" s="396">
        <f t="shared" si="34"/>
        <v>538765.54717178969</v>
      </c>
      <c r="P241" s="396"/>
      <c r="Q241" s="396"/>
      <c r="R241" s="396"/>
      <c r="S241" s="396"/>
      <c r="T241" s="396"/>
      <c r="U241" s="396"/>
      <c r="V241" s="396"/>
      <c r="W241" s="396"/>
      <c r="X241" s="396">
        <f t="shared" si="36"/>
        <v>4130535.8616503864</v>
      </c>
      <c r="Y241" s="396"/>
      <c r="Z241" s="396"/>
      <c r="AA241" s="396">
        <f t="shared" si="35"/>
        <v>24009.159856140359</v>
      </c>
      <c r="AB241" s="396">
        <f t="shared" si="40"/>
        <v>184070.22556374266</v>
      </c>
      <c r="AC241" s="388">
        <f t="shared" si="37"/>
        <v>2364717.8011528761</v>
      </c>
      <c r="AD241" s="409">
        <f t="shared" si="38"/>
        <v>4.3891407191240956</v>
      </c>
      <c r="AE241" s="409"/>
    </row>
    <row r="242" spans="2:31" x14ac:dyDescent="0.25">
      <c r="B242">
        <v>0.44</v>
      </c>
      <c r="C242" s="229">
        <f t="shared" si="32"/>
        <v>0.60821233773498395</v>
      </c>
      <c r="D242" s="229">
        <f t="shared" si="39"/>
        <v>0.3179291765432869</v>
      </c>
      <c r="E242" s="409">
        <f t="shared" si="33"/>
        <v>98.746317737144722</v>
      </c>
      <c r="F242" s="409"/>
      <c r="G242" s="409"/>
      <c r="H242" s="409"/>
      <c r="I242" s="409"/>
      <c r="J242" s="409"/>
      <c r="K242" s="409"/>
      <c r="L242" s="409"/>
      <c r="M242" s="660"/>
      <c r="N242" s="422">
        <v>0.25</v>
      </c>
      <c r="O242" s="396">
        <f t="shared" si="34"/>
        <v>590076.55166434054</v>
      </c>
      <c r="P242" s="396"/>
      <c r="Q242" s="396"/>
      <c r="R242" s="396"/>
      <c r="S242" s="396"/>
      <c r="T242" s="396"/>
      <c r="U242" s="396"/>
      <c r="V242" s="396"/>
      <c r="W242" s="396"/>
      <c r="X242" s="396">
        <f t="shared" si="36"/>
        <v>4720612.4133147271</v>
      </c>
      <c r="Y242" s="396"/>
      <c r="Z242" s="396"/>
      <c r="AA242" s="396">
        <f t="shared" si="35"/>
        <v>26295.746509106084</v>
      </c>
      <c r="AB242" s="396">
        <f t="shared" si="40"/>
        <v>210365.97207284873</v>
      </c>
      <c r="AC242" s="388">
        <f t="shared" si="37"/>
        <v>2596608.1399236033</v>
      </c>
      <c r="AD242" s="409">
        <f t="shared" si="38"/>
        <v>4.400459792207875</v>
      </c>
      <c r="AE242" s="409"/>
    </row>
    <row r="243" spans="2:31" x14ac:dyDescent="0.25">
      <c r="B243">
        <v>0.46</v>
      </c>
      <c r="C243" s="229">
        <f t="shared" si="32"/>
        <v>0.66476100549960027</v>
      </c>
      <c r="D243" s="229">
        <f t="shared" si="39"/>
        <v>0.34683182895631337</v>
      </c>
      <c r="E243" s="409">
        <f t="shared" si="33"/>
        <v>99.000317737144712</v>
      </c>
      <c r="F243" s="409"/>
      <c r="G243" s="409"/>
      <c r="H243" s="409"/>
      <c r="I243" s="409"/>
      <c r="J243" s="409"/>
      <c r="K243" s="409"/>
      <c r="L243" s="409"/>
      <c r="M243" s="660"/>
      <c r="N243" s="422">
        <v>0.25</v>
      </c>
      <c r="O243" s="396">
        <f t="shared" si="34"/>
        <v>643719.87454291759</v>
      </c>
      <c r="P243" s="396"/>
      <c r="Q243" s="396"/>
      <c r="R243" s="396"/>
      <c r="S243" s="396"/>
      <c r="T243" s="396"/>
      <c r="U243" s="396"/>
      <c r="V243" s="396"/>
      <c r="W243" s="396"/>
      <c r="X243" s="396">
        <f t="shared" si="36"/>
        <v>5364332.2878576443</v>
      </c>
      <c r="Y243" s="396"/>
      <c r="Z243" s="396"/>
      <c r="AA243" s="396">
        <f t="shared" si="35"/>
        <v>28686.268919024846</v>
      </c>
      <c r="AB243" s="396">
        <f t="shared" si="40"/>
        <v>239052.24099187358</v>
      </c>
      <c r="AC243" s="388">
        <f t="shared" si="37"/>
        <v>2839949.7376766386</v>
      </c>
      <c r="AD243" s="409">
        <f t="shared" si="38"/>
        <v>4.4117788652916534</v>
      </c>
      <c r="AE243" s="409"/>
    </row>
    <row r="244" spans="2:31" x14ac:dyDescent="0.25">
      <c r="B244">
        <v>0.48</v>
      </c>
      <c r="C244" s="229">
        <f t="shared" si="32"/>
        <v>0.7238229473870883</v>
      </c>
      <c r="D244" s="229">
        <f t="shared" si="39"/>
        <v>0.37699111843077493</v>
      </c>
      <c r="E244" s="409">
        <f t="shared" si="33"/>
        <v>99.254317737144717</v>
      </c>
      <c r="F244" s="409"/>
      <c r="G244" s="409"/>
      <c r="H244" s="409"/>
      <c r="I244" s="409"/>
      <c r="J244" s="409"/>
      <c r="K244" s="409"/>
      <c r="L244" s="409"/>
      <c r="M244" s="660"/>
      <c r="N244" s="422">
        <v>0.25</v>
      </c>
      <c r="O244" s="396">
        <f t="shared" si="34"/>
        <v>699695.51580751827</v>
      </c>
      <c r="P244" s="396"/>
      <c r="Q244" s="396"/>
      <c r="R244" s="396"/>
      <c r="S244" s="396"/>
      <c r="T244" s="396"/>
      <c r="U244" s="396"/>
      <c r="V244" s="396"/>
      <c r="W244" s="396"/>
      <c r="X244" s="396">
        <f t="shared" si="36"/>
        <v>6064027.803665163</v>
      </c>
      <c r="Y244" s="396"/>
      <c r="Z244" s="396"/>
      <c r="AA244" s="396">
        <f t="shared" si="35"/>
        <v>31180.727085896535</v>
      </c>
      <c r="AB244" s="396">
        <f t="shared" si="40"/>
        <v>270232.96807777009</v>
      </c>
      <c r="AC244" s="388">
        <f t="shared" si="37"/>
        <v>3094821.7934587691</v>
      </c>
      <c r="AD244" s="409">
        <f t="shared" si="38"/>
        <v>4.4230979383754327</v>
      </c>
      <c r="AE244" s="409"/>
    </row>
  </sheetData>
  <sheetProtection sheet="1" objects="1" scenarios="1"/>
  <conditionalFormatting sqref="C71">
    <cfRule type="expression" dxfId="22" priority="6763">
      <formula>#REF!&gt;#REF!</formula>
    </cfRule>
  </conditionalFormatting>
  <conditionalFormatting sqref="C72">
    <cfRule type="expression" dxfId="21" priority="6867">
      <formula>$C$51*#REF!&gt;$D$51*#REF!</formula>
    </cfRule>
  </conditionalFormatting>
  <conditionalFormatting sqref="Y71">
    <cfRule type="expression" dxfId="20" priority="6741">
      <formula>$Z$57&gt;$Z$58</formula>
    </cfRule>
  </conditionalFormatting>
  <conditionalFormatting sqref="Y72">
    <cfRule type="expression" dxfId="19" priority="6868">
      <formula>$Z$47&gt;$D$51*$Z$58</formula>
    </cfRule>
  </conditionalFormatting>
  <conditionalFormatting sqref="AU70">
    <cfRule type="expression" dxfId="18" priority="6759">
      <formula>$AV$56&gt;$AV$61</formula>
    </cfRule>
  </conditionalFormatting>
  <conditionalFormatting sqref="AU71">
    <cfRule type="expression" dxfId="17" priority="6760">
      <formula>$AJ$51*$AV$56&gt;$AK$51*$AV$61</formula>
    </cfRule>
  </conditionalFormatting>
  <pageMargins left="0.7" right="0.7" top="0.75" bottom="0.75" header="0.3" footer="0.3"/>
  <pageSetup orientation="portrait" horizontalDpi="0" verticalDpi="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3C14A-88C7-4C9A-8771-0231B0F5B928}">
  <sheetPr codeName="Sheet10"/>
  <dimension ref="A1:AA91"/>
  <sheetViews>
    <sheetView topLeftCell="A22" workbookViewId="0">
      <selection activeCell="H40" sqref="H40"/>
    </sheetView>
  </sheetViews>
  <sheetFormatPr defaultColWidth="9.140625" defaultRowHeight="15" x14ac:dyDescent="0.25"/>
  <cols>
    <col min="1" max="4" width="9.140625" style="428"/>
    <col min="5" max="5" width="11.140625" style="428" customWidth="1"/>
    <col min="6" max="6" width="9.140625" style="428"/>
    <col min="7" max="7" width="13" style="428" customWidth="1"/>
    <col min="8" max="8" width="11.28515625" style="428" customWidth="1"/>
    <col min="9" max="9" width="9.140625" style="428"/>
    <col min="10" max="10" width="11.85546875" style="428" bestFit="1" customWidth="1"/>
    <col min="11" max="13" width="9.140625" style="428"/>
    <col min="14" max="14" width="11" style="428" customWidth="1"/>
    <col min="15" max="16" width="9.140625" style="428"/>
    <col min="17" max="17" width="11.85546875" style="428" bestFit="1" customWidth="1"/>
    <col min="18" max="23" width="9.140625" style="428"/>
    <col min="24" max="24" width="10.85546875" style="428" bestFit="1" customWidth="1"/>
    <col min="25" max="25" width="9.140625" style="428"/>
    <col min="26" max="26" width="11.85546875" style="428" bestFit="1" customWidth="1"/>
    <col min="27" max="16384" width="9.140625" style="428"/>
  </cols>
  <sheetData>
    <row r="1" spans="1:18" x14ac:dyDescent="0.25">
      <c r="A1" s="763" t="str">
        <f>"Flow chart of the nutrient flows for scenario "&amp;'Saved Scenarios'!H6</f>
        <v xml:space="preserve">Flow chart of the nutrient flows for scenario </v>
      </c>
    </row>
    <row r="3" spans="1:18" x14ac:dyDescent="0.25">
      <c r="R3" s="428" t="s">
        <v>659</v>
      </c>
    </row>
    <row r="6" spans="1:18" x14ac:dyDescent="0.25">
      <c r="M6" s="757">
        <f>'Nutrient calculations'!AF16</f>
        <v>0</v>
      </c>
      <c r="N6" s="757" t="str">
        <f>'Nutrient calculations'!AG16</f>
        <v>tons/day</v>
      </c>
    </row>
    <row r="7" spans="1:18" x14ac:dyDescent="0.25">
      <c r="M7" s="757">
        <f>'Nutrient calculations'!AF24</f>
        <v>0</v>
      </c>
      <c r="N7" s="751" t="str">
        <f>'Nutrient calculations'!AG24</f>
        <v>tons/day DM</v>
      </c>
    </row>
    <row r="8" spans="1:18" x14ac:dyDescent="0.25">
      <c r="M8" s="757"/>
      <c r="N8" s="751"/>
    </row>
    <row r="9" spans="1:18" x14ac:dyDescent="0.25">
      <c r="F9" s="751">
        <f>'Nutrient calculations'!AF15</f>
        <v>81.972999999999999</v>
      </c>
      <c r="G9" s="751" t="str">
        <f>'Nutrient calculations'!AG15</f>
        <v>tons/day</v>
      </c>
      <c r="I9" s="750"/>
      <c r="M9" s="755">
        <f>'Nutrient Inputs'!D46</f>
        <v>6.3388625592417057E-3</v>
      </c>
      <c r="N9" s="428" t="s">
        <v>637</v>
      </c>
    </row>
    <row r="10" spans="1:18" x14ac:dyDescent="0.25">
      <c r="F10" s="757">
        <f>'Nutrient calculations'!B23</f>
        <v>10.65649</v>
      </c>
      <c r="G10" s="751" t="str">
        <f>'Nutrient calculations'!AG23</f>
        <v>tons/day DM</v>
      </c>
      <c r="I10" s="757"/>
      <c r="J10" s="751"/>
      <c r="M10" s="755">
        <f>'Nutrient Inputs'!E46</f>
        <v>2.31042654028436E-6</v>
      </c>
      <c r="N10" s="428" t="s">
        <v>637</v>
      </c>
    </row>
    <row r="11" spans="1:18" x14ac:dyDescent="0.25">
      <c r="F11" s="757"/>
      <c r="G11" s="751"/>
      <c r="I11" s="757"/>
      <c r="J11" s="751"/>
      <c r="M11" s="755">
        <f>'Nutrient Inputs'!G46</f>
        <v>1.7239336492890997E-3</v>
      </c>
      <c r="N11" s="428" t="s">
        <v>637</v>
      </c>
    </row>
    <row r="12" spans="1:18" x14ac:dyDescent="0.25">
      <c r="E12" s="428" t="s">
        <v>551</v>
      </c>
      <c r="F12" s="752">
        <f>'Nutrient calculations'!B44</f>
        <v>34.19</v>
      </c>
      <c r="G12" s="428" t="s">
        <v>636</v>
      </c>
      <c r="I12" s="753"/>
    </row>
    <row r="13" spans="1:18" x14ac:dyDescent="0.25">
      <c r="E13" s="428" t="s">
        <v>605</v>
      </c>
      <c r="F13" s="752">
        <f>'Nutrient calculations'!B45</f>
        <v>11.89</v>
      </c>
      <c r="G13" s="428" t="s">
        <v>636</v>
      </c>
      <c r="I13" s="753"/>
    </row>
    <row r="14" spans="1:18" x14ac:dyDescent="0.25">
      <c r="E14" s="428" t="s">
        <v>549</v>
      </c>
      <c r="F14" s="752">
        <f>'Nutrient calculations'!B47</f>
        <v>12.74</v>
      </c>
      <c r="G14" s="428" t="s">
        <v>636</v>
      </c>
      <c r="I14" s="748"/>
    </row>
    <row r="15" spans="1:18" x14ac:dyDescent="0.25">
      <c r="F15" s="752"/>
      <c r="I15" s="748"/>
    </row>
    <row r="17" spans="7:12" x14ac:dyDescent="0.25">
      <c r="I17" s="763" t="s">
        <v>640</v>
      </c>
    </row>
    <row r="18" spans="7:12" x14ac:dyDescent="0.25">
      <c r="I18" s="750">
        <f>'Nutrient calculations'!AF17</f>
        <v>81.972999999999999</v>
      </c>
    </row>
    <row r="19" spans="7:12" x14ac:dyDescent="0.25">
      <c r="I19" s="754">
        <f>'Nutrient calculations'!AF21</f>
        <v>0.13</v>
      </c>
    </row>
    <row r="20" spans="7:12" x14ac:dyDescent="0.25">
      <c r="I20" s="748">
        <f>'Nutrient calculations'!AF25</f>
        <v>10.65649</v>
      </c>
    </row>
    <row r="27" spans="7:12" x14ac:dyDescent="0.25">
      <c r="I27" s="749">
        <f>I18</f>
        <v>81.972999999999999</v>
      </c>
      <c r="L27" s="758"/>
    </row>
    <row r="28" spans="7:12" x14ac:dyDescent="0.25">
      <c r="I28" s="749">
        <f>I20</f>
        <v>10.65649</v>
      </c>
      <c r="L28" s="758"/>
    </row>
    <row r="29" spans="7:12" x14ac:dyDescent="0.25">
      <c r="I29" s="749"/>
      <c r="L29" s="758"/>
    </row>
    <row r="30" spans="7:12" x14ac:dyDescent="0.25">
      <c r="G30" s="428" t="s">
        <v>551</v>
      </c>
      <c r="I30" s="749">
        <f>('Nutrient calculations'!AJ44+'Nutrient calculations'!AV44)*1000/'Nutrient calculations'!$AF$30</f>
        <v>67.012399999999971</v>
      </c>
      <c r="J30" s="428" t="s">
        <v>636</v>
      </c>
      <c r="L30" s="758"/>
    </row>
    <row r="31" spans="7:12" x14ac:dyDescent="0.25">
      <c r="G31" s="428" t="s">
        <v>605</v>
      </c>
      <c r="I31" s="749">
        <f>('Nutrient calculations'!AJ45+'Nutrient calculations'!AV45)*1000/'Nutrient calculations'!$AF$30</f>
        <v>36.509699999999995</v>
      </c>
      <c r="J31" s="428" t="s">
        <v>636</v>
      </c>
      <c r="L31" s="758"/>
    </row>
    <row r="32" spans="7:12" x14ac:dyDescent="0.25">
      <c r="G32" s="428" t="s">
        <v>549</v>
      </c>
      <c r="I32" s="749">
        <f>('Nutrient calculations'!AJ47+'Nutrient calculations'!AV47)*1000/'Nutrient calculations'!$AF$30</f>
        <v>23.3142</v>
      </c>
      <c r="J32" s="428" t="s">
        <v>636</v>
      </c>
      <c r="L32" s="758"/>
    </row>
    <row r="36" spans="2:13" x14ac:dyDescent="0.25">
      <c r="G36" s="790" t="s">
        <v>683</v>
      </c>
      <c r="K36" s="791" t="s">
        <v>683</v>
      </c>
    </row>
    <row r="37" spans="2:13" x14ac:dyDescent="0.25">
      <c r="I37" s="763"/>
    </row>
    <row r="38" spans="2:13" x14ac:dyDescent="0.25">
      <c r="H38" s="749"/>
      <c r="L38" s="749"/>
    </row>
    <row r="39" spans="2:13" x14ac:dyDescent="0.25">
      <c r="H39" s="754">
        <f>'Nutrient Inputs'!E18</f>
        <v>0.03</v>
      </c>
      <c r="I39" s="428" t="s">
        <v>634</v>
      </c>
      <c r="L39" s="758"/>
    </row>
    <row r="40" spans="2:13" x14ac:dyDescent="0.25">
      <c r="B40" s="750">
        <f>IF('Key inputs &amp; Outputs'!F9="Yes",'Nutrient calculations'!AT61,0)</f>
        <v>20</v>
      </c>
      <c r="H40" s="749">
        <f>I28-L40</f>
        <v>10.65649</v>
      </c>
      <c r="L40" s="749"/>
    </row>
    <row r="41" spans="2:13" x14ac:dyDescent="0.25">
      <c r="B41" s="750">
        <f>'Nutrient calculations'!AV57</f>
        <v>123.26256919014084</v>
      </c>
      <c r="C41" s="428" t="str">
        <f>'Nutrient calculations'!AW57</f>
        <v>Acres required to apply bedding</v>
      </c>
      <c r="H41" s="749"/>
      <c r="L41" s="749"/>
    </row>
    <row r="42" spans="2:13" x14ac:dyDescent="0.25">
      <c r="F42" s="428" t="s">
        <v>551</v>
      </c>
      <c r="H42" s="753">
        <f>'Nutrient calculations'!O44</f>
        <v>37.348992707749012</v>
      </c>
      <c r="L42" s="756">
        <f>'Nutrient calculations'!Y44</f>
        <v>12.501485442661924</v>
      </c>
      <c r="M42" s="428" t="s">
        <v>641</v>
      </c>
    </row>
    <row r="43" spans="2:13" x14ac:dyDescent="0.25">
      <c r="F43" s="428" t="s">
        <v>605</v>
      </c>
      <c r="H43" s="753">
        <f>'Nutrient calculations'!O45</f>
        <v>20.402415257632825</v>
      </c>
      <c r="L43" s="756">
        <f>'Nutrient calculations'!Y45</f>
        <v>5.9445130033365352</v>
      </c>
      <c r="M43" s="428" t="s">
        <v>641</v>
      </c>
    </row>
    <row r="44" spans="2:13" x14ac:dyDescent="0.25">
      <c r="F44" s="428" t="s">
        <v>606</v>
      </c>
      <c r="H44" s="753">
        <f>'Nutrient calculations'!O46</f>
        <v>16.946577450116184</v>
      </c>
      <c r="L44" s="756">
        <f>'Nutrient calculations'!Y46</f>
        <v>6.5569724393253876</v>
      </c>
      <c r="M44" s="428" t="s">
        <v>641</v>
      </c>
    </row>
    <row r="45" spans="2:13" x14ac:dyDescent="0.25">
      <c r="F45" s="428" t="s">
        <v>549</v>
      </c>
      <c r="H45" s="753">
        <f>'Nutrient calculations'!O47</f>
        <v>12.032505809760396</v>
      </c>
      <c r="L45" s="756">
        <f>'Nutrient calculations'!Y47</f>
        <v>19.79797979797981</v>
      </c>
      <c r="M45" s="428" t="s">
        <v>641</v>
      </c>
    </row>
    <row r="47" spans="2:13" x14ac:dyDescent="0.25">
      <c r="H47" s="751">
        <f>'Nutrient calculations'!AJ61</f>
        <v>3100</v>
      </c>
      <c r="I47" s="428" t="str">
        <f>'Nutrient calculations'!A61</f>
        <v>Rate used in the economic analysis</v>
      </c>
    </row>
    <row r="48" spans="2:13" x14ac:dyDescent="0.25">
      <c r="H48" s="751">
        <f>'Nutrient calculations'!AV56</f>
        <v>767.58429132104652</v>
      </c>
      <c r="I48" s="428" t="str">
        <f>'Nutrient calculations'!AA55</f>
        <v>Acres required to apply digestate liquid, N-based</v>
      </c>
    </row>
    <row r="49" spans="8:9" x14ac:dyDescent="0.25">
      <c r="H49" s="751">
        <f>'Nutrient calculations'!Z56</f>
        <v>61.631284595070419</v>
      </c>
      <c r="I49" s="428" t="str">
        <f>'Nutrient calculations'!AA56</f>
        <v>Acres required to apply bedding</v>
      </c>
    </row>
    <row r="50" spans="8:9" x14ac:dyDescent="0.25">
      <c r="H50" s="751">
        <f>'Nutrient calculations'!Z57</f>
        <v>829.2155759161169</v>
      </c>
      <c r="I50" s="428" t="str">
        <f>'Nutrient calculations'!AA57</f>
        <v>Total acres required</v>
      </c>
    </row>
    <row r="65" spans="1:27" x14ac:dyDescent="0.25">
      <c r="A65" s="763" t="s">
        <v>700</v>
      </c>
    </row>
    <row r="67" spans="1:27" x14ac:dyDescent="0.25">
      <c r="F67" s="768" t="s">
        <v>648</v>
      </c>
      <c r="G67" s="632"/>
      <c r="H67" s="632"/>
      <c r="I67" s="632"/>
      <c r="J67" s="632"/>
      <c r="M67" s="773" t="s">
        <v>650</v>
      </c>
      <c r="N67" s="774"/>
      <c r="O67" s="774"/>
      <c r="P67" s="774"/>
      <c r="Q67" s="774"/>
      <c r="T67" s="770" t="s">
        <v>713</v>
      </c>
      <c r="U67" s="650"/>
      <c r="V67" s="650"/>
      <c r="W67" s="650"/>
      <c r="X67" s="650"/>
      <c r="Y67" s="763" t="s">
        <v>656</v>
      </c>
    </row>
    <row r="68" spans="1:27" x14ac:dyDescent="0.25">
      <c r="F68" s="632" t="s">
        <v>702</v>
      </c>
      <c r="G68" s="632"/>
      <c r="H68" s="637">
        <f>'Nutrient calculations'!D61</f>
        <v>2900</v>
      </c>
      <c r="I68" s="632" t="s">
        <v>701</v>
      </c>
      <c r="J68" s="632"/>
      <c r="M68" s="773"/>
      <c r="N68" s="774"/>
      <c r="O68" s="774"/>
      <c r="P68" s="774"/>
      <c r="Q68" s="774"/>
      <c r="T68" s="770"/>
      <c r="U68" s="650"/>
      <c r="V68" s="650"/>
      <c r="W68" s="650"/>
      <c r="X68" s="650"/>
      <c r="Y68" s="763"/>
    </row>
    <row r="69" spans="1:27" x14ac:dyDescent="0.25">
      <c r="F69" s="632" t="s">
        <v>703</v>
      </c>
      <c r="G69" s="632"/>
      <c r="H69" s="632"/>
      <c r="I69" s="632" t="s">
        <v>701</v>
      </c>
      <c r="J69" s="632"/>
      <c r="M69" s="773"/>
      <c r="N69" s="774"/>
      <c r="O69" s="774"/>
      <c r="P69" s="774"/>
      <c r="Q69" s="774"/>
      <c r="T69" s="770"/>
      <c r="U69" s="650"/>
      <c r="V69" s="650"/>
      <c r="W69" s="650"/>
      <c r="X69" s="650"/>
      <c r="Y69" s="763"/>
    </row>
    <row r="70" spans="1:27" x14ac:dyDescent="0.25">
      <c r="F70" s="632" t="s">
        <v>704</v>
      </c>
      <c r="G70" s="632"/>
      <c r="H70" s="637">
        <f>'Nutrient calculations'!D61</f>
        <v>2900</v>
      </c>
      <c r="I70" s="632" t="s">
        <v>701</v>
      </c>
      <c r="J70" s="632"/>
      <c r="M70" s="774" t="s">
        <v>249</v>
      </c>
      <c r="N70" s="774"/>
      <c r="O70" s="774"/>
      <c r="P70" s="775">
        <f>'Nutrient calculations'!AJ61</f>
        <v>3100</v>
      </c>
      <c r="Q70" s="774"/>
      <c r="T70" s="650" t="s">
        <v>389</v>
      </c>
      <c r="U70" s="650"/>
      <c r="V70" s="650"/>
      <c r="W70" s="654">
        <f>'Nutrient calculations'!X61</f>
        <v>20</v>
      </c>
      <c r="X70" s="650"/>
    </row>
    <row r="71" spans="1:27" x14ac:dyDescent="0.25">
      <c r="F71" s="632" t="s">
        <v>245</v>
      </c>
      <c r="G71" s="632"/>
      <c r="H71" s="637">
        <f>'Nutrient calculations'!E58</f>
        <v>3000</v>
      </c>
      <c r="I71" s="632"/>
      <c r="J71" s="632"/>
      <c r="M71" s="774" t="s">
        <v>245</v>
      </c>
      <c r="N71" s="774"/>
      <c r="O71" s="774"/>
      <c r="P71" s="775">
        <f>'Nutrient calculations'!AV56</f>
        <v>767.58429132104652</v>
      </c>
      <c r="Q71" s="774"/>
      <c r="T71" s="650" t="s">
        <v>245</v>
      </c>
      <c r="U71" s="650"/>
      <c r="V71" s="650"/>
      <c r="W71" s="654">
        <f>'Nutrient calculations'!Z56</f>
        <v>61.631284595070419</v>
      </c>
      <c r="X71" s="650"/>
    </row>
    <row r="72" spans="1:27" x14ac:dyDescent="0.25">
      <c r="F72" s="632"/>
      <c r="G72" s="632"/>
      <c r="H72" s="637"/>
      <c r="I72" s="632"/>
      <c r="J72" s="632"/>
      <c r="M72" s="774"/>
      <c r="N72" s="774"/>
      <c r="O72" s="774"/>
      <c r="P72" s="775"/>
      <c r="Q72" s="774"/>
      <c r="T72" s="650"/>
      <c r="U72" s="650"/>
      <c r="V72" s="650"/>
      <c r="W72" s="654"/>
      <c r="X72" s="650"/>
    </row>
    <row r="73" spans="1:27" ht="60" x14ac:dyDescent="0.25">
      <c r="F73" s="640" t="s">
        <v>548</v>
      </c>
      <c r="G73" s="640" t="s">
        <v>649</v>
      </c>
      <c r="H73" s="640" t="s">
        <v>645</v>
      </c>
      <c r="I73" s="640" t="s">
        <v>652</v>
      </c>
      <c r="J73" s="640" t="s">
        <v>657</v>
      </c>
      <c r="L73" s="764"/>
      <c r="M73" s="776" t="s">
        <v>548</v>
      </c>
      <c r="N73" s="776" t="s">
        <v>649</v>
      </c>
      <c r="O73" s="776" t="s">
        <v>645</v>
      </c>
      <c r="P73" s="776" t="s">
        <v>652</v>
      </c>
      <c r="Q73" s="776" t="s">
        <v>657</v>
      </c>
      <c r="S73" s="764"/>
      <c r="T73" s="771" t="s">
        <v>548</v>
      </c>
      <c r="U73" s="771" t="s">
        <v>649</v>
      </c>
      <c r="V73" s="771" t="s">
        <v>645</v>
      </c>
      <c r="W73" s="771" t="s">
        <v>652</v>
      </c>
      <c r="X73" s="771" t="s">
        <v>657</v>
      </c>
      <c r="Z73" s="761" t="s">
        <v>657</v>
      </c>
    </row>
    <row r="74" spans="1:27" x14ac:dyDescent="0.25">
      <c r="B74" s="428" t="s">
        <v>642</v>
      </c>
      <c r="C74" s="759">
        <f>'Nutrient calculations'!B50</f>
        <v>0.77</v>
      </c>
      <c r="D74" s="760" t="s">
        <v>643</v>
      </c>
      <c r="E74" s="760" t="s">
        <v>438</v>
      </c>
      <c r="F74" s="637">
        <f>'Nutrient calculations'!D50</f>
        <v>37.190934065934059</v>
      </c>
      <c r="G74" s="637">
        <f>'Nutrient calculations'!E50</f>
        <v>140</v>
      </c>
      <c r="H74" s="637">
        <f>'Nutrient calculations'!E50</f>
        <v>140</v>
      </c>
      <c r="I74" s="648">
        <f>'Nutrient calculations'!J50</f>
        <v>28.637019230769226</v>
      </c>
      <c r="J74" s="632"/>
      <c r="L74" s="428" t="str">
        <f>B74</f>
        <v>N</v>
      </c>
      <c r="M74" s="775">
        <f>F74</f>
        <v>37.190934065934059</v>
      </c>
      <c r="N74" s="777">
        <f>'Nutrient calculations'!N50</f>
        <v>140</v>
      </c>
      <c r="O74" s="777">
        <f>'Nutrient calculations'!N50</f>
        <v>140</v>
      </c>
      <c r="P74" s="778">
        <f>'Nutrient calculations'!T50</f>
        <v>47.384060677938933</v>
      </c>
      <c r="Q74" s="774"/>
      <c r="S74" s="428" t="str">
        <f t="shared" ref="S74:T76" si="0">L74</f>
        <v>N</v>
      </c>
      <c r="T74" s="654">
        <f t="shared" si="0"/>
        <v>37.190934065934059</v>
      </c>
      <c r="U74" s="656">
        <f>'Nutrient calculations'!Y50</f>
        <v>35.06937245760777</v>
      </c>
      <c r="V74" s="656">
        <f>'Nutrient calculations'!Y50</f>
        <v>35.06937245760777</v>
      </c>
      <c r="W74" s="657">
        <f>'Nutrient calculations'!AB50</f>
        <v>27.003416792357985</v>
      </c>
      <c r="X74" s="650"/>
    </row>
    <row r="75" spans="1:27" x14ac:dyDescent="0.25">
      <c r="B75" s="428" t="s">
        <v>646</v>
      </c>
      <c r="C75" s="759">
        <f>'Nutrient calculations'!B51</f>
        <v>0.65</v>
      </c>
      <c r="D75" s="760" t="s">
        <v>643</v>
      </c>
      <c r="E75" s="760" t="s">
        <v>438</v>
      </c>
      <c r="F75" s="637">
        <f>'Nutrient calculations'!D51</f>
        <v>29.556799999999999</v>
      </c>
      <c r="G75" s="637">
        <f>'Nutrient calculations'!E51</f>
        <v>30</v>
      </c>
      <c r="H75" s="637">
        <f>'Nutrient calculations'!E51</f>
        <v>30</v>
      </c>
      <c r="I75" s="648">
        <f>'Nutrient calculations'!J51</f>
        <v>19.211919999999999</v>
      </c>
      <c r="J75" s="632"/>
      <c r="L75" s="428" t="str">
        <f>B75</f>
        <v>P2O5</v>
      </c>
      <c r="M75" s="775">
        <f>F75</f>
        <v>29.556799999999999</v>
      </c>
      <c r="N75" s="777">
        <f>'Nutrient calculations'!N51</f>
        <v>88.166483779087685</v>
      </c>
      <c r="O75" s="774">
        <f>'Nutrient calculations'!P51</f>
        <v>30</v>
      </c>
      <c r="P75" s="778">
        <f>'Nutrient calculations'!T51</f>
        <v>29.840614408205784</v>
      </c>
      <c r="Q75" s="774"/>
      <c r="S75" s="428" t="str">
        <f t="shared" si="0"/>
        <v>P2O5</v>
      </c>
      <c r="T75" s="654">
        <f t="shared" si="0"/>
        <v>29.556799999999999</v>
      </c>
      <c r="U75" s="656">
        <f>'Nutrient calculations'!Y51</f>
        <v>112.45252525252532</v>
      </c>
      <c r="V75" s="650">
        <f>'Nutrient calculations'!AA51</f>
        <v>30</v>
      </c>
      <c r="W75" s="657">
        <f>'Nutrient calculations'!AB51</f>
        <v>19.5</v>
      </c>
      <c r="X75" s="650"/>
    </row>
    <row r="76" spans="1:27" x14ac:dyDescent="0.25">
      <c r="B76" s="428" t="s">
        <v>647</v>
      </c>
      <c r="C76" s="759">
        <f>'Nutrient calculations'!B52</f>
        <v>0.54</v>
      </c>
      <c r="D76" s="760" t="s">
        <v>643</v>
      </c>
      <c r="E76" s="760" t="s">
        <v>438</v>
      </c>
      <c r="F76" s="637">
        <f>'Nutrient calculations'!D52</f>
        <v>64.217600000000004</v>
      </c>
      <c r="G76" s="637">
        <f>'Nutrient calculations'!E52</f>
        <v>150</v>
      </c>
      <c r="H76" s="637">
        <f>'Nutrient calculations'!E52</f>
        <v>150</v>
      </c>
      <c r="I76" s="648">
        <f>'Nutrient calculations'!J52</f>
        <v>34.677504000000006</v>
      </c>
      <c r="J76" s="632"/>
      <c r="L76" s="428" t="str">
        <f>B76</f>
        <v>K2O</v>
      </c>
      <c r="M76" s="775">
        <f>F76</f>
        <v>64.217600000000004</v>
      </c>
      <c r="N76" s="777">
        <f>'Nutrient calculations'!N52</f>
        <v>281.2786149578713</v>
      </c>
      <c r="O76" s="774">
        <f>'Nutrient calculations'!P52</f>
        <v>150</v>
      </c>
      <c r="P76" s="778">
        <f>'Nutrient calculations'!T52</f>
        <v>92.759830114592489</v>
      </c>
      <c r="Q76" s="774"/>
      <c r="S76" s="428" t="str">
        <f t="shared" si="0"/>
        <v>K2O</v>
      </c>
      <c r="T76" s="654">
        <f t="shared" si="0"/>
        <v>64.217600000000004</v>
      </c>
      <c r="U76" s="656">
        <f>'Nutrient calculations'!Y52</f>
        <v>89.824946295534488</v>
      </c>
      <c r="V76" s="650">
        <f>'Nutrient calculations'!AA52</f>
        <v>89.824946295534488</v>
      </c>
      <c r="W76" s="657">
        <f>'Nutrient calculations'!AB52</f>
        <v>48.505470999588624</v>
      </c>
      <c r="X76" s="650"/>
    </row>
    <row r="77" spans="1:27" x14ac:dyDescent="0.25">
      <c r="B77" s="428" t="s">
        <v>658</v>
      </c>
      <c r="F77" s="632"/>
      <c r="G77" s="632"/>
      <c r="H77" s="632"/>
      <c r="I77" s="648">
        <f>'Nutrient calculations'!J53</f>
        <v>82.526443230769232</v>
      </c>
      <c r="J77" s="648">
        <f>'Nutrient calculations'!J66</f>
        <v>227660.25703474862</v>
      </c>
      <c r="L77" s="428" t="str">
        <f>B77</f>
        <v>Total fertilizer value, $/acre &amp; $/year</v>
      </c>
      <c r="M77" s="774"/>
      <c r="N77" s="774"/>
      <c r="O77" s="774"/>
      <c r="P77" s="778">
        <f>'Nutrient calculations'!T53</f>
        <v>0</v>
      </c>
      <c r="Q77" s="778">
        <f>'Nutrient calculations'!AR66</f>
        <v>8721.5851175395637</v>
      </c>
      <c r="S77" s="428" t="str">
        <f>L77</f>
        <v>Total fertilizer value, $/acre &amp; $/year</v>
      </c>
      <c r="T77" s="650"/>
      <c r="U77" s="650"/>
      <c r="V77" s="650"/>
      <c r="W77" s="657">
        <f>'Nutrient calculations'!AB53</f>
        <v>95.008887791946606</v>
      </c>
      <c r="X77" s="657" t="e">
        <f>'Nutrient calculations'!#REF!</f>
        <v>#REF!</v>
      </c>
      <c r="Y77" s="762"/>
      <c r="Z77" s="762" t="e">
        <f>Q77+X77</f>
        <v>#REF!</v>
      </c>
      <c r="AA77" s="762"/>
    </row>
    <row r="78" spans="1:27" x14ac:dyDescent="0.25">
      <c r="F78" s="632"/>
      <c r="G78" s="632"/>
      <c r="H78" s="632"/>
      <c r="I78" s="648"/>
      <c r="J78" s="648"/>
      <c r="M78" s="774"/>
      <c r="N78" s="774"/>
      <c r="O78" s="774"/>
      <c r="P78" s="778"/>
      <c r="Q78" s="778"/>
      <c r="T78" s="650"/>
      <c r="U78" s="650"/>
      <c r="V78" s="650"/>
      <c r="W78" s="657"/>
      <c r="X78" s="657"/>
      <c r="Y78" s="762"/>
      <c r="Z78" s="762"/>
      <c r="AA78" s="762"/>
    </row>
    <row r="79" spans="1:27" x14ac:dyDescent="0.25">
      <c r="B79" s="428" t="s">
        <v>651</v>
      </c>
      <c r="F79" s="644">
        <f>'Nutrient calculations'!C63</f>
        <v>8</v>
      </c>
      <c r="G79" s="632"/>
      <c r="H79" s="632"/>
      <c r="I79" s="769">
        <f>'Nutrient calculations'!J63</f>
        <v>0</v>
      </c>
      <c r="J79" s="769">
        <f>'Nutrient calculations'!J67</f>
        <v>-146759.33191960168</v>
      </c>
      <c r="M79" s="774"/>
      <c r="N79" s="774"/>
      <c r="O79" s="774"/>
      <c r="P79" s="779">
        <f>'Nutrient calculations'!P63</f>
        <v>0</v>
      </c>
      <c r="Q79" s="779">
        <f>'Nutrient calculations'!AR67</f>
        <v>-7395.7541514084496</v>
      </c>
      <c r="S79" s="428" t="s">
        <v>653</v>
      </c>
      <c r="T79" s="650"/>
      <c r="U79" s="650"/>
      <c r="V79" s="660">
        <f>'Nutrient calculations'!X63</f>
        <v>6</v>
      </c>
      <c r="W79" s="772">
        <f>'Nutrient calculations'!Y63</f>
        <v>-119.99999999999999</v>
      </c>
      <c r="X79" s="772" t="e">
        <f>'Nutrient calculations'!#REF!</f>
        <v>#REF!</v>
      </c>
      <c r="Y79" s="762"/>
      <c r="Z79" s="765" t="e">
        <f>Q79+X79</f>
        <v>#REF!</v>
      </c>
      <c r="AA79" s="762"/>
    </row>
    <row r="80" spans="1:27" x14ac:dyDescent="0.25">
      <c r="B80" t="s">
        <v>654</v>
      </c>
      <c r="F80" s="632"/>
      <c r="G80" s="632"/>
      <c r="H80" s="632"/>
      <c r="I80" s="648">
        <f>I77+I79</f>
        <v>82.526443230769232</v>
      </c>
      <c r="J80" s="648">
        <f>J77+J79</f>
        <v>80900.925115146936</v>
      </c>
      <c r="M80" s="774"/>
      <c r="N80" s="774"/>
      <c r="O80" s="774"/>
      <c r="P80" s="778">
        <f>P77+P79</f>
        <v>0</v>
      </c>
      <c r="Q80" s="778">
        <f>Q77+Q79</f>
        <v>1325.8309661311141</v>
      </c>
      <c r="S80" t="str">
        <f>B80</f>
        <v>Fertilizer value net of application cost</v>
      </c>
      <c r="T80" s="650"/>
      <c r="U80" s="650"/>
      <c r="V80" s="650"/>
      <c r="W80" s="657">
        <f>W77+W79</f>
        <v>-24.99111220805338</v>
      </c>
      <c r="X80" s="657" t="e">
        <f>X77+X79</f>
        <v>#REF!</v>
      </c>
      <c r="Y80" s="762"/>
      <c r="Z80" s="762" t="e">
        <f>Q80+X80</f>
        <v>#REF!</v>
      </c>
      <c r="AA80" s="762"/>
    </row>
    <row r="81" spans="2:27" ht="18.75" x14ac:dyDescent="0.3">
      <c r="J81" s="762"/>
      <c r="P81" s="762"/>
      <c r="Q81" s="762"/>
      <c r="S81" s="767" t="s">
        <v>655</v>
      </c>
      <c r="W81" s="762"/>
      <c r="X81" s="762"/>
      <c r="Y81" s="762"/>
      <c r="Z81" s="766" t="e">
        <f>Z80-J80</f>
        <v>#REF!</v>
      </c>
      <c r="AA81" s="762"/>
    </row>
    <row r="83" spans="2:27" x14ac:dyDescent="0.25">
      <c r="B83" s="428" t="s">
        <v>666</v>
      </c>
      <c r="I83" s="751">
        <f>'Nutrient calculations'!D61</f>
        <v>2900</v>
      </c>
      <c r="J83" s="762"/>
      <c r="P83" s="751">
        <f>'Nutrient calculations'!AJ61</f>
        <v>3100</v>
      </c>
    </row>
    <row r="84" spans="2:27" x14ac:dyDescent="0.25">
      <c r="B84" s="428" t="str">
        <f>'Nutrient calculations'!A58</f>
        <v>Rate that covers all available acres</v>
      </c>
      <c r="I84" s="751">
        <f>'Nutrient calculations'!E58</f>
        <v>3000</v>
      </c>
      <c r="J84" s="762"/>
      <c r="P84" s="751">
        <f>'Nutrient calculations'!AV56</f>
        <v>767.58429132104652</v>
      </c>
    </row>
    <row r="85" spans="2:27" x14ac:dyDescent="0.25">
      <c r="B85" s="428" t="s">
        <v>665</v>
      </c>
      <c r="I85" s="751">
        <f>'Key inputs &amp; Outputs'!$F$13*'Nutrient Inputs'!$M$9</f>
        <v>3000</v>
      </c>
      <c r="J85" s="762"/>
      <c r="P85" s="751">
        <f>'Nutrient calculations'!AV61</f>
        <v>3000</v>
      </c>
    </row>
    <row r="86" spans="2:27" x14ac:dyDescent="0.25">
      <c r="I86" s="751"/>
      <c r="J86" s="762"/>
      <c r="P86" s="751"/>
    </row>
    <row r="87" spans="2:27" x14ac:dyDescent="0.25">
      <c r="B87" s="428" t="s">
        <v>663</v>
      </c>
      <c r="H87" s="780"/>
      <c r="I87" s="751" t="str">
        <f>'Nutrient calculations'!D71</f>
        <v>Yes, enough cropland is available.</v>
      </c>
      <c r="J87" s="762"/>
      <c r="O87" s="780"/>
      <c r="P87" s="751" t="str">
        <f>'Nutrient calculations'!AV70</f>
        <v>Yes, enough cropland is available.</v>
      </c>
    </row>
    <row r="88" spans="2:27" x14ac:dyDescent="0.25">
      <c r="I88" s="751"/>
      <c r="J88" s="762"/>
      <c r="P88" s="751"/>
    </row>
    <row r="89" spans="2:27" x14ac:dyDescent="0.25">
      <c r="B89" s="428" t="s">
        <v>664</v>
      </c>
      <c r="H89" s="780"/>
      <c r="I89" s="751" t="str">
        <f>'Nutrient calculations'!D72</f>
        <v>Yes, excess P is being applied and may build up over time.</v>
      </c>
      <c r="J89" s="762"/>
      <c r="O89" s="780"/>
      <c r="P89" s="751" t="str">
        <f>'Nutrient calculations'!AV71</f>
        <v>No, P applications are less than or equal to crop P needs.</v>
      </c>
    </row>
    <row r="90" spans="2:27" x14ac:dyDescent="0.25">
      <c r="I90" s="751"/>
      <c r="J90" s="762"/>
      <c r="P90" s="751"/>
    </row>
    <row r="91" spans="2:27" x14ac:dyDescent="0.25">
      <c r="I91" s="751"/>
      <c r="J91" s="762"/>
      <c r="P91" s="751"/>
    </row>
  </sheetData>
  <sheetProtection sheet="1" objects="1" scenarios="1"/>
  <pageMargins left="0.7" right="0.7" top="0.75" bottom="0.75" header="0.3" footer="0.3"/>
  <pageSetup orientation="portrait" horizontalDpi="0" verticalDpi="0"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787" id="{051EA142-FBB2-4AB5-A2D0-A1211806781F}">
            <xm:f>'Key inputs &amp; Outputs'!#REF!="No"</xm:f>
            <x14:dxf>
              <font>
                <color theme="0"/>
              </font>
            </x14:dxf>
          </x14:cfRule>
          <xm:sqref>G36 K36:M45</xm:sqref>
        </x14:conditionalFormatting>
        <x14:conditionalFormatting xmlns:xm="http://schemas.microsoft.com/office/excel/2006/main">
          <x14:cfRule type="expression" priority="6765" id="{41329FAD-D75E-48E7-A213-7D0B43CF1424}">
            <xm:f>'Nutrient calculations'!#REF!&gt;'Nutrient calculations'!#REF!</xm:f>
            <x14:dxf>
              <fill>
                <patternFill>
                  <bgColor rgb="FFFF0000"/>
                </patternFill>
              </fill>
            </x14:dxf>
          </x14:cfRule>
          <xm:sqref>H87</xm:sqref>
        </x14:conditionalFormatting>
        <x14:conditionalFormatting xmlns:xm="http://schemas.microsoft.com/office/excel/2006/main">
          <x14:cfRule type="expression" priority="6869" id="{B9FA95F4-CD52-446E-AC8A-CA695317180E}">
            <xm:f>'Nutrient calculations'!$C$51*'Nutrient calculations'!#REF!&gt;'Nutrient calculations'!$D$51*'Nutrient calculations'!#REF!</xm:f>
            <x14:dxf>
              <fill>
                <patternFill>
                  <bgColor rgb="FFFF0000"/>
                </patternFill>
              </fill>
            </x14:dxf>
          </x14:cfRule>
          <xm:sqref>H89</xm:sqref>
        </x14:conditionalFormatting>
        <x14:conditionalFormatting xmlns:xm="http://schemas.microsoft.com/office/excel/2006/main">
          <x14:cfRule type="expression" priority="6761" id="{504CDBF2-CF0E-448D-9E48-4384FAF4237A}">
            <xm:f>'Nutrient calculations'!$AV$56&gt;'Nutrient calculations'!$AV$61</xm:f>
            <x14:dxf>
              <fill>
                <patternFill>
                  <bgColor rgb="FFFF0000"/>
                </patternFill>
              </fill>
            </x14:dxf>
          </x14:cfRule>
          <xm:sqref>O87</xm:sqref>
        </x14:conditionalFormatting>
        <x14:conditionalFormatting xmlns:xm="http://schemas.microsoft.com/office/excel/2006/main">
          <x14:cfRule type="expression" priority="6762" id="{8CC372AC-FF16-40F0-9A97-C6E96D6693D5}">
            <xm:f>'Nutrient calculations'!$AJ$51*'Nutrient calculations'!$AV$56&gt;'Nutrient calculations'!$AK$51*'Nutrient calculations'!$AV$61</xm:f>
            <x14:dxf>
              <fill>
                <patternFill>
                  <bgColor rgb="FFFF0000"/>
                </patternFill>
              </fill>
            </x14:dxf>
          </x14:cfRule>
          <xm:sqref>O89</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A0FED-9493-4075-8C95-0B055FC76AD0}">
  <sheetPr codeName="Sheet8">
    <tabColor rgb="FF00B050"/>
  </sheetPr>
  <dimension ref="B1:Z86"/>
  <sheetViews>
    <sheetView workbookViewId="0"/>
  </sheetViews>
  <sheetFormatPr defaultColWidth="9.140625" defaultRowHeight="15.75" x14ac:dyDescent="0.25"/>
  <cols>
    <col min="1" max="1" width="3.140625" style="436" customWidth="1"/>
    <col min="2" max="2" width="68.85546875" style="436" customWidth="1"/>
    <col min="3" max="4" width="14.7109375" style="436" customWidth="1"/>
    <col min="5" max="5" width="14.7109375" customWidth="1"/>
    <col min="6" max="6" width="17.28515625" customWidth="1"/>
    <col min="7" max="10" width="14.140625" style="436" customWidth="1"/>
    <col min="11" max="11" width="43.42578125" style="436" customWidth="1"/>
    <col min="12" max="14" width="14.5703125" style="436" customWidth="1"/>
    <col min="15" max="16" width="9.140625" style="436"/>
    <col min="17" max="17" width="35.5703125" style="436" customWidth="1"/>
    <col min="18" max="16384" width="9.140625" style="436"/>
  </cols>
  <sheetData>
    <row r="1" spans="2:23" ht="16.5" thickBot="1" x14ac:dyDescent="0.3">
      <c r="E1" s="436"/>
      <c r="F1" s="436"/>
    </row>
    <row r="2" spans="2:23" ht="21" thickBot="1" x14ac:dyDescent="0.3">
      <c r="B2" s="1030" t="s">
        <v>391</v>
      </c>
      <c r="C2" s="1030"/>
      <c r="D2" s="1030"/>
      <c r="E2" s="1030"/>
      <c r="F2" s="1030"/>
      <c r="G2" s="1030"/>
      <c r="H2" s="1030"/>
      <c r="I2" s="1030"/>
      <c r="J2" s="1030"/>
      <c r="K2" s="437"/>
      <c r="L2" s="437"/>
      <c r="M2" s="437"/>
      <c r="N2" s="437"/>
      <c r="O2" s="438"/>
      <c r="P2" s="438"/>
      <c r="Q2" s="438"/>
      <c r="R2" s="438"/>
      <c r="S2" s="438"/>
      <c r="T2" s="438"/>
      <c r="U2" s="438"/>
      <c r="V2" s="438"/>
      <c r="W2" s="438"/>
    </row>
    <row r="3" spans="2:23" customFormat="1" thickBot="1" x14ac:dyDescent="0.3"/>
    <row r="4" spans="2:23" customFormat="1" x14ac:dyDescent="0.25">
      <c r="B4" s="1" t="s">
        <v>342</v>
      </c>
      <c r="C4" s="436"/>
      <c r="D4" s="812" t="str">
        <f>'Key inputs &amp; Outputs'!F15</f>
        <v>No</v>
      </c>
      <c r="F4" s="449" t="s">
        <v>348</v>
      </c>
      <c r="G4" s="222"/>
      <c r="H4" s="222"/>
    </row>
    <row r="5" spans="2:23" x14ac:dyDescent="0.25">
      <c r="E5" s="436"/>
      <c r="F5" s="1" t="s">
        <v>345</v>
      </c>
      <c r="G5" s="447"/>
      <c r="K5" s="439" t="s">
        <v>343</v>
      </c>
      <c r="L5" s="441" t="s">
        <v>321</v>
      </c>
    </row>
    <row r="6" spans="2:23" x14ac:dyDescent="0.25">
      <c r="B6" s="439" t="s">
        <v>316</v>
      </c>
      <c r="E6" s="436"/>
      <c r="G6"/>
      <c r="H6"/>
      <c r="K6" s="443" t="s">
        <v>342</v>
      </c>
      <c r="L6" s="446" t="str">
        <f>IF('Financial Inputs'!X126=1,"No","Yes")</f>
        <v>No</v>
      </c>
      <c r="M6" s="440"/>
      <c r="N6" s="440"/>
    </row>
    <row r="7" spans="2:23" x14ac:dyDescent="0.25">
      <c r="N7" s="442"/>
    </row>
    <row r="8" spans="2:23" ht="16.5" thickBot="1" x14ac:dyDescent="0.3">
      <c r="B8" s="460" t="s">
        <v>360</v>
      </c>
      <c r="C8" s="709"/>
      <c r="D8" s="712"/>
      <c r="E8" s="710"/>
      <c r="K8" s="443"/>
      <c r="L8" s="711"/>
    </row>
    <row r="9" spans="2:23" x14ac:dyDescent="0.25">
      <c r="B9" s="436" t="s">
        <v>515</v>
      </c>
      <c r="C9" s="714"/>
      <c r="D9" s="713" t="s">
        <v>83</v>
      </c>
      <c r="K9" s="443" t="str">
        <f>B9</f>
        <v>Will you include a site preparation year before the grass planting year?</v>
      </c>
      <c r="L9" s="444">
        <f>IF(D9="No",0,1)</f>
        <v>0</v>
      </c>
      <c r="M9" s="445"/>
      <c r="N9" s="445"/>
    </row>
    <row r="10" spans="2:23" x14ac:dyDescent="0.25">
      <c r="C10" s="709"/>
      <c r="D10" s="712"/>
      <c r="E10" s="710"/>
      <c r="K10" s="443"/>
      <c r="L10" s="711"/>
    </row>
    <row r="11" spans="2:23" x14ac:dyDescent="0.25">
      <c r="B11" s="439" t="s">
        <v>513</v>
      </c>
      <c r="K11" s="584" t="str">
        <f t="shared" ref="K11" si="0">B11</f>
        <v>Switchgrass budget inputs</v>
      </c>
    </row>
    <row r="12" spans="2:23" ht="30" x14ac:dyDescent="0.25">
      <c r="B12" s="570" t="s">
        <v>521</v>
      </c>
      <c r="D12" s="574" t="s">
        <v>507</v>
      </c>
      <c r="F12" s="619" t="s">
        <v>6</v>
      </c>
    </row>
    <row r="13" spans="2:23" x14ac:dyDescent="0.25">
      <c r="B13" s="571" t="s">
        <v>517</v>
      </c>
      <c r="D13" s="575">
        <v>17</v>
      </c>
      <c r="E13" t="str">
        <f>IF(C14&lt;&gt;"$",C14&amp;"/acre","")</f>
        <v/>
      </c>
      <c r="F13" s="619" t="s">
        <v>6</v>
      </c>
    </row>
    <row r="14" spans="2:23" x14ac:dyDescent="0.25">
      <c r="B14" s="571" t="s">
        <v>516</v>
      </c>
      <c r="C14" s="575" t="s">
        <v>0</v>
      </c>
      <c r="D14" s="738">
        <v>1</v>
      </c>
      <c r="E14" t="str">
        <f>IF($D$12="CRP","$ / acre",IF($D$12="Corn/Alfalfa Rotation","$ / bu",IF($D$12="Corn/Soybean Rotation","$ / bu",IF($D$12="Pasture for Grazing/Haying",""))))</f>
        <v/>
      </c>
      <c r="F14" s="619" t="s">
        <v>6</v>
      </c>
    </row>
    <row r="15" spans="2:23" x14ac:dyDescent="0.25">
      <c r="B15" s="571" t="s">
        <v>518</v>
      </c>
      <c r="D15" s="739">
        <f>Switchgrass_Key_Inputs!P40</f>
        <v>0</v>
      </c>
      <c r="E15" t="s">
        <v>437</v>
      </c>
      <c r="F15" s="619" t="s">
        <v>6</v>
      </c>
    </row>
    <row r="16" spans="2:23" x14ac:dyDescent="0.25">
      <c r="B16" s="582" t="s">
        <v>519</v>
      </c>
      <c r="D16" s="740">
        <v>1</v>
      </c>
      <c r="F16" s="619" t="s">
        <v>6</v>
      </c>
    </row>
    <row r="17" spans="2:26" x14ac:dyDescent="0.25">
      <c r="B17" s="571" t="str">
        <f>IF(pctcorn&lt;1,"2nd crop in the rotation that the switchgrass replaces or competes with","Intentionally left blank")</f>
        <v>Intentionally left blank</v>
      </c>
      <c r="D17" s="583" t="s">
        <v>444</v>
      </c>
    </row>
    <row r="18" spans="2:26" x14ac:dyDescent="0.25">
      <c r="B18" s="571" t="str">
        <f>IF(pctcorn&lt;1,"Estimated yield or revenue of the other crop in the rotation","Intentionally left blank")</f>
        <v>Intentionally left blank</v>
      </c>
      <c r="D18" s="581">
        <v>50</v>
      </c>
      <c r="E18" t="str">
        <f>IF(D19&lt;&gt;"$",D19&amp;"/acre","")</f>
        <v>bushel/acre</v>
      </c>
    </row>
    <row r="19" spans="2:26" x14ac:dyDescent="0.25">
      <c r="B19" s="571" t="str">
        <f>IF(pctcorn&lt;1,"Units the yield is measured in (bushels, animal units, etc.) or $ if revenue","Intentionally left blank")</f>
        <v>Intentionally left blank</v>
      </c>
      <c r="D19" s="575" t="s">
        <v>520</v>
      </c>
    </row>
    <row r="20" spans="2:26" x14ac:dyDescent="0.25">
      <c r="B20" s="571" t="str">
        <f>IF(pctcorn&lt;1,"Price or value per unit (enter '1' if the yield is entered as '$')","Intentionally left blank")</f>
        <v>Intentionally left blank</v>
      </c>
      <c r="D20" s="580">
        <f>Switchgrass_Key_Inputs!P50</f>
        <v>0</v>
      </c>
      <c r="E20" t="str">
        <f>IF($D$12="CRP","$ / acre",IF($D$12="Corn/Alfalfa Rotation","$ / ton",IF($D$12="Corn/Soybean Rotation","$ / bu",IF($D$12="Pasture for Grazing/Haying",""))))</f>
        <v/>
      </c>
    </row>
    <row r="21" spans="2:26" x14ac:dyDescent="0.25">
      <c r="B21" s="571" t="str">
        <f>IF(pctcorn&lt;1,"Annual non-land production costs for this crop","Intentionally left blank")</f>
        <v>Intentionally left blank</v>
      </c>
      <c r="D21" s="581">
        <v>200</v>
      </c>
      <c r="E21" t="s">
        <v>437</v>
      </c>
    </row>
    <row r="22" spans="2:26" x14ac:dyDescent="0.25">
      <c r="B22" s="571" t="s">
        <v>686</v>
      </c>
      <c r="D22" s="471">
        <f>'Key inputs &amp; Outputs'!F16</f>
        <v>500</v>
      </c>
      <c r="K22" s="443" t="str">
        <f>'Key inputs &amp; Outputs'!D16</f>
        <v>Acres of grass or vegetation you would have available to sell?</v>
      </c>
      <c r="L22" s="444">
        <f>IF('Financial Inputs'!$X$126=2,'Key inputs &amp; Outputs'!F16,0)</f>
        <v>0</v>
      </c>
    </row>
    <row r="23" spans="2:26" x14ac:dyDescent="0.25">
      <c r="B23" s="627" t="s">
        <v>558</v>
      </c>
      <c r="C23"/>
      <c r="D23" s="474">
        <v>0.85</v>
      </c>
      <c r="F23" s="619" t="s">
        <v>6</v>
      </c>
      <c r="K23" s="443" t="str">
        <f>B23</f>
        <v>Switchgrass percent dry matter</v>
      </c>
      <c r="L23" s="626">
        <f>IF('Financial Inputs'!$X$126=2,D23,0)</f>
        <v>0</v>
      </c>
    </row>
    <row r="24" spans="2:26" x14ac:dyDescent="0.25">
      <c r="B24" s="572" t="s">
        <v>559</v>
      </c>
      <c r="D24" s="576">
        <v>10</v>
      </c>
      <c r="E24" t="s">
        <v>20</v>
      </c>
      <c r="F24" s="619" t="s">
        <v>6</v>
      </c>
    </row>
    <row r="25" spans="2:26" x14ac:dyDescent="0.25">
      <c r="B25" s="573" t="s">
        <v>530</v>
      </c>
      <c r="D25" s="577">
        <f>D27*0.25</f>
        <v>1.5</v>
      </c>
      <c r="E25" t="s">
        <v>439</v>
      </c>
      <c r="F25" s="619" t="s">
        <v>6</v>
      </c>
    </row>
    <row r="26" spans="2:26" x14ac:dyDescent="0.25">
      <c r="B26" s="573" t="s">
        <v>531</v>
      </c>
      <c r="D26" s="577">
        <f>D27*0.5</f>
        <v>3</v>
      </c>
      <c r="E26" t="s">
        <v>439</v>
      </c>
      <c r="F26" s="619" t="s">
        <v>6</v>
      </c>
    </row>
    <row r="27" spans="2:26" x14ac:dyDescent="0.25">
      <c r="B27" s="573" t="s">
        <v>532</v>
      </c>
      <c r="D27" s="577">
        <v>6</v>
      </c>
      <c r="E27" t="s">
        <v>439</v>
      </c>
      <c r="F27" s="619" t="s">
        <v>6</v>
      </c>
    </row>
    <row r="28" spans="2:26" x14ac:dyDescent="0.25">
      <c r="B28" s="572" t="s">
        <v>603</v>
      </c>
      <c r="D28" s="719">
        <f>D45</f>
        <v>5.4057866653011839</v>
      </c>
      <c r="E28" t="s">
        <v>439</v>
      </c>
      <c r="F28" s="619"/>
    </row>
    <row r="29" spans="2:26" x14ac:dyDescent="0.25">
      <c r="B29" s="572" t="s">
        <v>533</v>
      </c>
      <c r="D29" s="578">
        <v>1250</v>
      </c>
      <c r="E29" t="s">
        <v>443</v>
      </c>
      <c r="F29" s="619" t="s">
        <v>6</v>
      </c>
      <c r="K29"/>
      <c r="L29"/>
      <c r="M29"/>
      <c r="N29"/>
      <c r="O29"/>
      <c r="P29"/>
      <c r="Q29"/>
      <c r="R29"/>
      <c r="S29"/>
      <c r="T29"/>
      <c r="U29"/>
      <c r="V29"/>
      <c r="W29"/>
      <c r="X29"/>
      <c r="Y29"/>
      <c r="Z29"/>
    </row>
    <row r="30" spans="2:26" x14ac:dyDescent="0.25">
      <c r="B30" s="572"/>
      <c r="D30" s="918"/>
      <c r="F30" s="710"/>
      <c r="K30"/>
      <c r="L30"/>
      <c r="M30"/>
      <c r="N30"/>
      <c r="O30"/>
      <c r="P30"/>
      <c r="Q30"/>
      <c r="R30"/>
      <c r="S30"/>
      <c r="T30"/>
      <c r="U30"/>
      <c r="V30"/>
      <c r="W30"/>
      <c r="X30"/>
      <c r="Y30"/>
      <c r="Z30"/>
    </row>
    <row r="31" spans="2:26" x14ac:dyDescent="0.25">
      <c r="B31" s="572" t="s">
        <v>788</v>
      </c>
      <c r="D31" s="738">
        <v>0</v>
      </c>
      <c r="E31" t="s">
        <v>437</v>
      </c>
      <c r="F31" s="710"/>
      <c r="K31"/>
      <c r="L31"/>
      <c r="M31"/>
      <c r="N31"/>
      <c r="O31"/>
      <c r="P31"/>
      <c r="Q31"/>
      <c r="R31"/>
      <c r="S31"/>
      <c r="T31"/>
      <c r="U31"/>
      <c r="V31"/>
      <c r="W31"/>
      <c r="X31"/>
      <c r="Y31"/>
      <c r="Z31"/>
    </row>
    <row r="32" spans="2:26" x14ac:dyDescent="0.25">
      <c r="K32"/>
      <c r="L32"/>
      <c r="M32"/>
      <c r="N32"/>
      <c r="O32"/>
      <c r="P32"/>
      <c r="Q32"/>
      <c r="R32"/>
      <c r="S32"/>
      <c r="T32"/>
      <c r="U32"/>
      <c r="V32"/>
      <c r="W32"/>
      <c r="X32"/>
      <c r="Y32"/>
      <c r="Z32"/>
    </row>
    <row r="33" spans="2:26" ht="31.5" x14ac:dyDescent="0.25">
      <c r="B33" s="439" t="s">
        <v>341</v>
      </c>
      <c r="C33" s="470" t="str">
        <f>'Financial Inputs'!G5</f>
        <v>manure</v>
      </c>
      <c r="D33" s="473" t="s">
        <v>337</v>
      </c>
      <c r="E33" s="619" t="s">
        <v>6</v>
      </c>
      <c r="K33" s="443"/>
      <c r="L33" s="444"/>
      <c r="M33" s="442"/>
      <c r="N33"/>
      <c r="O33"/>
      <c r="P33"/>
      <c r="Q33"/>
      <c r="R33"/>
      <c r="S33"/>
      <c r="T33"/>
      <c r="U33"/>
      <c r="V33"/>
      <c r="W33"/>
      <c r="X33"/>
      <c r="Y33"/>
      <c r="Z33"/>
    </row>
    <row r="34" spans="2:26" x14ac:dyDescent="0.25">
      <c r="B34" s="439"/>
      <c r="C34" s="443">
        <v>1</v>
      </c>
      <c r="D34" s="443">
        <v>2</v>
      </c>
      <c r="K34" s="443"/>
      <c r="L34" s="444"/>
      <c r="M34" s="442"/>
      <c r="N34"/>
      <c r="O34"/>
      <c r="P34"/>
      <c r="Q34"/>
      <c r="R34"/>
      <c r="S34"/>
      <c r="T34"/>
      <c r="U34"/>
      <c r="V34"/>
      <c r="W34"/>
      <c r="X34"/>
      <c r="Y34"/>
      <c r="Z34"/>
    </row>
    <row r="35" spans="2:26" x14ac:dyDescent="0.25">
      <c r="K35"/>
      <c r="L35"/>
      <c r="M35"/>
      <c r="N35"/>
      <c r="O35"/>
      <c r="P35"/>
      <c r="Q35"/>
      <c r="R35"/>
      <c r="S35"/>
      <c r="T35"/>
      <c r="U35"/>
      <c r="V35"/>
      <c r="W35"/>
      <c r="X35"/>
      <c r="Y35"/>
      <c r="Z35"/>
    </row>
    <row r="36" spans="2:26" ht="30" x14ac:dyDescent="0.25">
      <c r="B36" s="439" t="s">
        <v>598</v>
      </c>
      <c r="C36" s="395" t="s">
        <v>425</v>
      </c>
      <c r="D36" s="395" t="s">
        <v>432</v>
      </c>
      <c r="E36" s="395" t="s">
        <v>433</v>
      </c>
      <c r="K36"/>
      <c r="L36"/>
      <c r="M36"/>
      <c r="N36"/>
      <c r="O36"/>
      <c r="P36"/>
      <c r="Q36"/>
      <c r="R36"/>
      <c r="S36"/>
      <c r="T36"/>
      <c r="U36"/>
      <c r="V36"/>
      <c r="W36"/>
      <c r="X36"/>
      <c r="Y36"/>
      <c r="Z36"/>
    </row>
    <row r="37" spans="2:26" x14ac:dyDescent="0.25">
      <c r="B37" s="458" t="s">
        <v>361</v>
      </c>
      <c r="C37" t="s">
        <v>434</v>
      </c>
      <c r="D37" s="482">
        <f>E38/C38</f>
        <v>0.69489927853743105</v>
      </c>
      <c r="K37"/>
      <c r="L37"/>
      <c r="M37"/>
      <c r="N37"/>
      <c r="O37"/>
      <c r="P37"/>
      <c r="Q37"/>
      <c r="R37"/>
      <c r="S37"/>
      <c r="T37"/>
      <c r="U37"/>
      <c r="V37"/>
      <c r="W37"/>
      <c r="X37"/>
      <c r="Y37"/>
      <c r="Z37"/>
    </row>
    <row r="38" spans="2:26" x14ac:dyDescent="0.25">
      <c r="B38" t="s">
        <v>539</v>
      </c>
      <c r="C38" s="397">
        <f>'Nutrient calculations'!N25*365*2000</f>
        <v>7779237.6999999993</v>
      </c>
      <c r="D38" s="397">
        <f>'Nutrient calculations'!N25*365*2000+E38</f>
        <v>13185024.365301184</v>
      </c>
      <c r="E38" s="397">
        <f>'Key inputs &amp; Outputs'!F16*D45*2000</f>
        <v>5405786.6653011842</v>
      </c>
      <c r="K38"/>
      <c r="L38"/>
      <c r="M38"/>
      <c r="N38"/>
      <c r="O38"/>
      <c r="P38"/>
      <c r="Q38"/>
      <c r="R38"/>
      <c r="S38"/>
      <c r="T38"/>
      <c r="U38"/>
      <c r="V38"/>
      <c r="W38"/>
      <c r="X38"/>
      <c r="Y38"/>
      <c r="Z38"/>
    </row>
    <row r="39" spans="2:26" x14ac:dyDescent="0.25">
      <c r="B39" t="s">
        <v>540</v>
      </c>
      <c r="C39" s="396">
        <f>C38*0.454/365</f>
        <v>9676.0929199999991</v>
      </c>
      <c r="D39" s="396">
        <f>D38*0.454/365</f>
        <v>16400.002909169143</v>
      </c>
      <c r="E39" s="396">
        <f>D39-C39</f>
        <v>6723.909989169144</v>
      </c>
      <c r="K39"/>
      <c r="L39"/>
      <c r="M39"/>
      <c r="N39"/>
      <c r="O39"/>
      <c r="P39"/>
      <c r="Q39"/>
      <c r="R39"/>
      <c r="S39"/>
      <c r="T39"/>
      <c r="U39"/>
      <c r="V39"/>
      <c r="W39"/>
      <c r="X39"/>
      <c r="Y39"/>
      <c r="Z39"/>
    </row>
    <row r="40" spans="2:26" x14ac:dyDescent="0.25">
      <c r="B40" s="458" t="s">
        <v>435</v>
      </c>
      <c r="C40" s="388">
        <f>'Nutrient calculations'!AA68</f>
        <v>114513.17827642127</v>
      </c>
      <c r="D40" s="388">
        <f>'Nutrient calculations'!AS68</f>
        <v>117379.24359139425</v>
      </c>
      <c r="E40" s="483">
        <f>(IF('Financial Inputs'!X126=2,'Nutrient calculations'!AY68,0))</f>
        <v>0</v>
      </c>
      <c r="K40"/>
      <c r="L40"/>
      <c r="M40"/>
      <c r="N40"/>
      <c r="O40"/>
      <c r="P40"/>
      <c r="Q40"/>
      <c r="R40"/>
      <c r="S40"/>
      <c r="T40"/>
      <c r="U40"/>
      <c r="V40"/>
      <c r="W40"/>
      <c r="X40"/>
      <c r="Y40"/>
      <c r="Z40"/>
    </row>
    <row r="41" spans="2:26" x14ac:dyDescent="0.25">
      <c r="B41" s="458" t="str">
        <f>Switchgrass_Key_Inputs!B9</f>
        <v>Will you include a site preparation year before the grass planting year?</v>
      </c>
      <c r="C41" s="388"/>
      <c r="D41" s="483" t="str">
        <f>Switchgrass_Key_Inputs!D9</f>
        <v>No</v>
      </c>
      <c r="E41" s="388"/>
      <c r="K41"/>
      <c r="L41"/>
      <c r="M41"/>
      <c r="N41"/>
      <c r="O41"/>
      <c r="P41"/>
      <c r="Q41"/>
      <c r="R41"/>
      <c r="S41"/>
      <c r="T41"/>
      <c r="U41"/>
      <c r="V41"/>
      <c r="W41"/>
      <c r="X41"/>
      <c r="Y41"/>
      <c r="Z41"/>
    </row>
    <row r="42" spans="2:26" x14ac:dyDescent="0.25">
      <c r="C42"/>
      <c r="D42"/>
      <c r="K42"/>
      <c r="L42"/>
      <c r="M42"/>
      <c r="N42"/>
      <c r="O42"/>
      <c r="P42"/>
      <c r="Q42"/>
      <c r="R42"/>
      <c r="S42"/>
      <c r="T42"/>
      <c r="U42"/>
      <c r="V42"/>
      <c r="W42"/>
      <c r="X42"/>
      <c r="Y42"/>
      <c r="Z42"/>
    </row>
    <row r="43" spans="2:26" x14ac:dyDescent="0.25">
      <c r="B43" s="439" t="s">
        <v>526</v>
      </c>
      <c r="K43"/>
      <c r="L43"/>
      <c r="M43"/>
      <c r="N43"/>
      <c r="O43"/>
      <c r="P43"/>
      <c r="Q43"/>
      <c r="R43"/>
      <c r="S43"/>
      <c r="T43"/>
      <c r="U43"/>
      <c r="V43"/>
      <c r="W43"/>
      <c r="X43"/>
      <c r="Y43"/>
      <c r="Z43"/>
    </row>
    <row r="44" spans="2:26" x14ac:dyDescent="0.25">
      <c r="B44" s="566" t="s">
        <v>523</v>
      </c>
      <c r="D44" s="587">
        <f>-PMT(Switchgrass_Budget!D54,Switchgrass_Budget!G54,'Detailed Cash Flow'!F89)</f>
        <v>440.39326673645274</v>
      </c>
      <c r="E44" t="s">
        <v>438</v>
      </c>
      <c r="K44"/>
      <c r="L44"/>
      <c r="M44"/>
      <c r="N44"/>
      <c r="O44"/>
      <c r="P44"/>
      <c r="Q44"/>
      <c r="R44"/>
      <c r="S44"/>
      <c r="T44"/>
      <c r="U44"/>
      <c r="V44"/>
      <c r="W44"/>
      <c r="X44"/>
      <c r="Y44"/>
      <c r="Z44"/>
    </row>
    <row r="45" spans="2:26" x14ac:dyDescent="0.25">
      <c r="B45" s="566" t="s">
        <v>440</v>
      </c>
      <c r="D45" s="928">
        <f>-PMT(Switchgrass_Budget!D54,Switchgrass_Budget!G54,'Detailed Cash Flow'!F91)</f>
        <v>5.4057866653011839</v>
      </c>
      <c r="E45" s="566" t="s">
        <v>439</v>
      </c>
      <c r="K45"/>
      <c r="L45"/>
      <c r="M45"/>
      <c r="N45"/>
      <c r="O45"/>
      <c r="P45"/>
      <c r="Q45"/>
      <c r="R45"/>
      <c r="S45"/>
      <c r="T45"/>
      <c r="U45"/>
      <c r="V45"/>
      <c r="W45"/>
      <c r="X45"/>
      <c r="Y45"/>
      <c r="Z45"/>
    </row>
    <row r="46" spans="2:26" x14ac:dyDescent="0.25">
      <c r="B46" s="566" t="s">
        <v>441</v>
      </c>
      <c r="D46" s="588">
        <f>D44/D45+0.01</f>
        <v>81.47700822717654</v>
      </c>
      <c r="E46" t="s">
        <v>442</v>
      </c>
      <c r="K46"/>
      <c r="L46"/>
      <c r="M46"/>
      <c r="N46"/>
      <c r="O46"/>
      <c r="P46"/>
      <c r="Q46"/>
      <c r="R46"/>
      <c r="S46"/>
      <c r="T46"/>
      <c r="U46"/>
      <c r="V46"/>
      <c r="W46"/>
      <c r="X46"/>
      <c r="Y46"/>
      <c r="Z46"/>
    </row>
    <row r="47" spans="2:26" x14ac:dyDescent="0.25">
      <c r="B47" s="566" t="s">
        <v>524</v>
      </c>
      <c r="D47" s="387">
        <f>(cornyld*cornpr-corncost)*Switchgrass_Key_Inputs!D16+(soyyld*soypr-soycost)*(1-Switchgrass_Key_Inputs!D16)</f>
        <v>17</v>
      </c>
      <c r="E47" t="str">
        <f>IF(D47="","","/acre")</f>
        <v>/acre</v>
      </c>
      <c r="K47"/>
      <c r="L47"/>
      <c r="M47"/>
      <c r="N47"/>
      <c r="O47"/>
      <c r="P47"/>
      <c r="Q47"/>
      <c r="R47"/>
      <c r="S47"/>
      <c r="T47"/>
      <c r="U47"/>
      <c r="V47"/>
      <c r="W47"/>
      <c r="X47"/>
      <c r="Y47"/>
      <c r="Z47"/>
    </row>
    <row r="48" spans="2:26" x14ac:dyDescent="0.25">
      <c r="B48" s="566" t="s">
        <v>525</v>
      </c>
      <c r="D48" s="588">
        <f>D46+alternet/D45</f>
        <v>84.621786416282688</v>
      </c>
      <c r="E48" t="s">
        <v>442</v>
      </c>
      <c r="K48"/>
      <c r="L48"/>
      <c r="M48"/>
      <c r="N48"/>
      <c r="O48"/>
      <c r="P48"/>
      <c r="Q48"/>
      <c r="R48"/>
      <c r="S48"/>
      <c r="T48"/>
      <c r="U48"/>
      <c r="V48"/>
      <c r="W48"/>
      <c r="X48"/>
      <c r="Y48"/>
      <c r="Z48"/>
    </row>
    <row r="49" spans="2:26" x14ac:dyDescent="0.25">
      <c r="C49"/>
      <c r="D49"/>
      <c r="K49"/>
      <c r="L49"/>
      <c r="M49"/>
      <c r="N49"/>
      <c r="O49"/>
      <c r="P49"/>
      <c r="Q49"/>
      <c r="R49"/>
      <c r="S49"/>
      <c r="T49"/>
      <c r="U49"/>
      <c r="V49"/>
      <c r="W49"/>
      <c r="X49"/>
      <c r="Y49"/>
      <c r="Z49"/>
    </row>
    <row r="50" spans="2:26" ht="30" x14ac:dyDescent="0.25">
      <c r="B50" s="404" t="s">
        <v>527</v>
      </c>
      <c r="C50" s="395" t="s">
        <v>425</v>
      </c>
      <c r="D50" s="395" t="s">
        <v>432</v>
      </c>
      <c r="E50" s="395" t="s">
        <v>433</v>
      </c>
      <c r="K50"/>
      <c r="L50"/>
      <c r="M50"/>
      <c r="N50"/>
      <c r="O50"/>
      <c r="P50"/>
      <c r="Q50"/>
      <c r="R50"/>
      <c r="S50"/>
      <c r="T50"/>
      <c r="U50"/>
      <c r="V50"/>
      <c r="W50"/>
      <c r="X50"/>
      <c r="Y50"/>
      <c r="Z50"/>
    </row>
    <row r="51" spans="2:26" x14ac:dyDescent="0.25">
      <c r="B51" s="436" t="s">
        <v>720</v>
      </c>
      <c r="C51" s="391">
        <f>'Saved Scenarios'!D45</f>
        <v>74800.362500000003</v>
      </c>
      <c r="D51" s="391">
        <f>C51</f>
        <v>74800.362500000003</v>
      </c>
      <c r="E51" s="391">
        <f t="shared" ref="E51:E55" si="1">D51-C51</f>
        <v>0</v>
      </c>
      <c r="K51"/>
      <c r="L51"/>
      <c r="M51"/>
      <c r="N51"/>
      <c r="O51"/>
      <c r="P51"/>
      <c r="Q51"/>
      <c r="R51"/>
      <c r="S51"/>
      <c r="T51"/>
      <c r="U51"/>
      <c r="V51"/>
      <c r="W51"/>
      <c r="X51"/>
      <c r="Y51"/>
      <c r="Z51"/>
    </row>
    <row r="52" spans="2:26" x14ac:dyDescent="0.25">
      <c r="B52" t="s">
        <v>431</v>
      </c>
      <c r="C52" s="391">
        <f>'Financial Inputs'!Y133</f>
        <v>20000.000000000015</v>
      </c>
      <c r="D52" s="391">
        <f>'Financial Inputs'!Z133</f>
        <v>20000.000000000015</v>
      </c>
      <c r="E52" s="391">
        <f t="shared" si="1"/>
        <v>0</v>
      </c>
      <c r="K52"/>
      <c r="L52"/>
      <c r="M52"/>
      <c r="N52"/>
      <c r="O52"/>
      <c r="P52"/>
      <c r="Q52"/>
      <c r="R52"/>
      <c r="S52"/>
      <c r="T52"/>
      <c r="U52"/>
      <c r="V52"/>
      <c r="W52"/>
      <c r="X52"/>
      <c r="Y52"/>
      <c r="Z52"/>
    </row>
    <row r="53" spans="2:26" x14ac:dyDescent="0.25">
      <c r="B53" t="str">
        <f>'Financial Inputs'!T130</f>
        <v>O&amp;M</v>
      </c>
      <c r="C53" s="391">
        <f>'Financial Inputs'!Y130</f>
        <v>90.909090909090978</v>
      </c>
      <c r="D53" s="391">
        <f>'Financial Inputs'!Z130</f>
        <v>202842.1330095357</v>
      </c>
      <c r="E53" s="391">
        <f t="shared" si="1"/>
        <v>202751.22391862661</v>
      </c>
      <c r="K53"/>
      <c r="L53"/>
      <c r="M53"/>
      <c r="N53"/>
      <c r="O53"/>
      <c r="P53"/>
      <c r="Q53"/>
      <c r="R53"/>
      <c r="S53"/>
      <c r="T53"/>
      <c r="U53"/>
      <c r="V53"/>
      <c r="W53"/>
      <c r="X53"/>
      <c r="Y53"/>
      <c r="Z53"/>
    </row>
    <row r="54" spans="2:26" x14ac:dyDescent="0.25">
      <c r="B54" t="str">
        <f>"Net present value @ "&amp;'Financial Inputs'!V191*100&amp;"% (over defined useful life)"</f>
        <v>Net present value @ 10% (over defined useful life)</v>
      </c>
      <c r="C54" s="391">
        <f>'Financial Inputs'!Y129</f>
        <v>652258.26619721949</v>
      </c>
      <c r="D54" s="391">
        <f>'Financial Inputs'!Z129</f>
        <v>-378878.83563449839</v>
      </c>
      <c r="E54" s="391">
        <f t="shared" si="1"/>
        <v>-1031137.1018317179</v>
      </c>
      <c r="K54"/>
      <c r="L54"/>
      <c r="M54"/>
      <c r="N54"/>
      <c r="O54"/>
      <c r="P54"/>
      <c r="Q54"/>
      <c r="R54"/>
      <c r="S54"/>
      <c r="T54"/>
      <c r="U54"/>
      <c r="V54"/>
      <c r="W54"/>
      <c r="X54"/>
      <c r="Y54"/>
      <c r="Z54"/>
    </row>
    <row r="55" spans="2:26" x14ac:dyDescent="0.25">
      <c r="B55" t="str">
        <f>"Year 1 cash flow @ "&amp;'Financial Inputs'!V191*100&amp;"% (over defined useful life)"</f>
        <v>Year 1 cash flow @ 10% (over defined useful life)</v>
      </c>
      <c r="C55" s="391">
        <f>'Financial Inputs'!Y128</f>
        <v>76614.011202316717</v>
      </c>
      <c r="D55" s="391">
        <f>'Financial Inputs'!Z128</f>
        <v>-44502.965867887244</v>
      </c>
      <c r="E55" s="391">
        <f t="shared" si="1"/>
        <v>-121116.97707020395</v>
      </c>
      <c r="K55"/>
      <c r="L55"/>
      <c r="M55"/>
      <c r="N55"/>
      <c r="O55"/>
      <c r="P55"/>
      <c r="Q55"/>
      <c r="R55"/>
      <c r="S55"/>
      <c r="T55"/>
      <c r="U55"/>
      <c r="V55"/>
      <c r="W55"/>
      <c r="X55"/>
      <c r="Y55"/>
      <c r="Z55"/>
    </row>
    <row r="56" spans="2:26" x14ac:dyDescent="0.25">
      <c r="K56"/>
      <c r="L56"/>
      <c r="M56"/>
      <c r="N56"/>
      <c r="O56"/>
      <c r="P56"/>
      <c r="Q56"/>
      <c r="R56"/>
      <c r="S56"/>
      <c r="T56"/>
      <c r="U56"/>
      <c r="V56"/>
      <c r="W56"/>
      <c r="X56"/>
      <c r="Y56"/>
      <c r="Z56"/>
    </row>
    <row r="57" spans="2:26" x14ac:dyDescent="0.25">
      <c r="B57" s="439" t="s">
        <v>307</v>
      </c>
      <c r="C57" s="420"/>
      <c r="D57"/>
      <c r="K57"/>
      <c r="L57"/>
      <c r="M57"/>
      <c r="N57"/>
      <c r="O57"/>
      <c r="P57"/>
      <c r="Q57"/>
      <c r="R57"/>
      <c r="S57"/>
      <c r="T57"/>
      <c r="U57"/>
      <c r="V57"/>
      <c r="W57"/>
      <c r="X57"/>
      <c r="Y57"/>
      <c r="Z57"/>
    </row>
    <row r="58" spans="2:26" x14ac:dyDescent="0.25">
      <c r="B58" s="436" t="s">
        <v>308</v>
      </c>
    </row>
    <row r="59" spans="2:26" x14ac:dyDescent="0.25">
      <c r="B59" s="436" t="s">
        <v>310</v>
      </c>
    </row>
    <row r="60" spans="2:26" x14ac:dyDescent="0.25">
      <c r="B60" s="436" t="s">
        <v>309</v>
      </c>
    </row>
    <row r="61" spans="2:26" x14ac:dyDescent="0.25">
      <c r="B61" s="436" t="s">
        <v>311</v>
      </c>
    </row>
    <row r="62" spans="2:26" x14ac:dyDescent="0.25">
      <c r="B62" s="436" t="s">
        <v>312</v>
      </c>
    </row>
    <row r="63" spans="2:26" x14ac:dyDescent="0.25">
      <c r="B63" s="436" t="s">
        <v>313</v>
      </c>
      <c r="C63" s="586"/>
      <c r="D63"/>
    </row>
    <row r="64" spans="2:26" x14ac:dyDescent="0.25">
      <c r="B64" s="436" t="s">
        <v>314</v>
      </c>
    </row>
    <row r="65" spans="2:3" x14ac:dyDescent="0.25">
      <c r="B65" s="436" t="s">
        <v>315</v>
      </c>
    </row>
    <row r="66" spans="2:3" x14ac:dyDescent="0.25">
      <c r="B66" s="436" t="s">
        <v>317</v>
      </c>
    </row>
    <row r="67" spans="2:3" x14ac:dyDescent="0.25">
      <c r="B67" s="436" t="s">
        <v>318</v>
      </c>
    </row>
    <row r="68" spans="2:3" x14ac:dyDescent="0.25">
      <c r="B68" s="436" t="s">
        <v>320</v>
      </c>
    </row>
    <row r="80" spans="2:3" x14ac:dyDescent="0.25">
      <c r="B80" s="443" t="s">
        <v>613</v>
      </c>
      <c r="C80" s="443"/>
    </row>
    <row r="81" spans="2:3" x14ac:dyDescent="0.25">
      <c r="B81" s="443" t="str">
        <f>'Key inputs &amp; Outputs'!D15</f>
        <v>Would you also grow and sell switchgrass to the digester owner?</v>
      </c>
      <c r="C81" s="734" t="str">
        <f ca="1">CELL("address",'Key inputs &amp; Outputs'!F15)</f>
        <v>'[nodigester032224a.xlsx]Key inputs &amp; Outputs'!$F$15</v>
      </c>
    </row>
    <row r="82" spans="2:3" x14ac:dyDescent="0.25">
      <c r="B82" s="443" t="str">
        <f>'Key inputs &amp; Outputs'!D16</f>
        <v>Acres of grass or vegetation you would have available to sell?</v>
      </c>
      <c r="C82" s="734" t="str">
        <f ca="1">CELL("address",'Key inputs &amp; Outputs'!F16)</f>
        <v>'[nodigester032224a.xlsx]Key inputs &amp; Outputs'!$F$16</v>
      </c>
    </row>
    <row r="83" spans="2:3" x14ac:dyDescent="0.25">
      <c r="B83" s="443" t="s">
        <v>609</v>
      </c>
      <c r="C83" s="734" t="str">
        <f ca="1">CELL("address",'Nutrient Inputs'!D46)</f>
        <v>'[nodigester032224a.xlsx]Nutrient Inputs'!$D$46</v>
      </c>
    </row>
    <row r="84" spans="2:3" x14ac:dyDescent="0.25">
      <c r="B84" s="443" t="s">
        <v>610</v>
      </c>
      <c r="C84" s="734" t="str">
        <f ca="1">CELL("address",'Nutrient Inputs'!E46)</f>
        <v>'[nodigester032224a.xlsx]Nutrient Inputs'!$E$46</v>
      </c>
    </row>
    <row r="85" spans="2:3" x14ac:dyDescent="0.25">
      <c r="B85" s="443" t="s">
        <v>511</v>
      </c>
      <c r="C85" s="734" t="str">
        <f ca="1">CELL("address",'Nutrient Inputs'!G46)</f>
        <v>'[nodigester032224a.xlsx]Nutrient Inputs'!$G$46</v>
      </c>
    </row>
    <row r="86" spans="2:3" x14ac:dyDescent="0.25">
      <c r="B86" s="443" t="s">
        <v>512</v>
      </c>
      <c r="C86" s="734" t="str">
        <f ca="1">CELL("address",'Nutrient Inputs'!H46)</f>
        <v>'[nodigester032224a.xlsx]Nutrient Inputs'!$H$46</v>
      </c>
    </row>
  </sheetData>
  <sheetProtection sheet="1" objects="1" scenarios="1"/>
  <protectedRanges>
    <protectedRange sqref="C51:E53" name="InputsOutputs_1"/>
    <protectedRange sqref="C54:E55" name="InputsOutputs_2"/>
    <protectedRange sqref="D41 E40" name="InputsOutputs_3"/>
  </protectedRanges>
  <mergeCells count="1">
    <mergeCell ref="B2:J2"/>
  </mergeCells>
  <conditionalFormatting sqref="D17:E21">
    <cfRule type="expression" dxfId="11" priority="9">
      <formula>$D$16=1</formula>
    </cfRule>
  </conditionalFormatting>
  <dataValidations count="3">
    <dataValidation type="list" allowBlank="1" showInputMessage="1" showErrorMessage="1" sqref="D9" xr:uid="{EDDF243A-9805-4BC6-98A2-3B2A584CC8B8}">
      <formula1>"No,Yes"</formula1>
    </dataValidation>
    <dataValidation type="list" allowBlank="1" showInputMessage="1" showErrorMessage="1" sqref="C14 D19" xr:uid="{406F23E1-8A9F-431A-96B5-F9AF95E2A3AC}">
      <formula1>"bushels, animal units, $"</formula1>
    </dataValidation>
    <dataValidation type="list" allowBlank="1" showInputMessage="1" showErrorMessage="1" sqref="D24" xr:uid="{8D726277-C10F-4DA9-8479-ACD211AB2233}">
      <formula1>#REF!</formula1>
    </dataValidation>
  </dataValidations>
  <pageMargins left="0.7" right="0.7" top="0.75" bottom="0.75" header="0.3" footer="0.3"/>
  <pageSetup orientation="portrait" horizontalDpi="0"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Welcome</vt:lpstr>
      <vt:lpstr>Background</vt:lpstr>
      <vt:lpstr>Key inputs &amp; Outputs</vt:lpstr>
      <vt:lpstr>Complex Inputs</vt:lpstr>
      <vt:lpstr>Financial Inputs</vt:lpstr>
      <vt:lpstr>Nutrient Inputs</vt:lpstr>
      <vt:lpstr>Nutrient calculations</vt:lpstr>
      <vt:lpstr>Nutrient chart</vt:lpstr>
      <vt:lpstr>Switchgrass_Key_Inputs</vt:lpstr>
      <vt:lpstr>Switchgrass_Budget</vt:lpstr>
      <vt:lpstr>Sensitivity Analysis</vt:lpstr>
      <vt:lpstr>Saved Scenarios</vt:lpstr>
      <vt:lpstr>N_availability</vt:lpstr>
      <vt:lpstr>Condensed Cash Flow</vt:lpstr>
      <vt:lpstr>Detailed Cash Flow</vt:lpstr>
      <vt:lpstr>'Financial Inputs'!_ftnref1</vt:lpstr>
      <vt:lpstr>alternet</vt:lpstr>
      <vt:lpstr>corncost</vt:lpstr>
      <vt:lpstr>cornpr</vt:lpstr>
      <vt:lpstr>cornyld</vt:lpstr>
      <vt:lpstr>croppick</vt:lpstr>
      <vt:lpstr>grassbreakeven</vt:lpstr>
      <vt:lpstr>grassbyreg</vt:lpstr>
      <vt:lpstr>input1</vt:lpstr>
      <vt:lpstr>input2</vt:lpstr>
      <vt:lpstr>pctcorn</vt:lpstr>
      <vt:lpstr>soycost</vt:lpstr>
      <vt:lpstr>soypr</vt:lpstr>
      <vt:lpstr>soyyld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CREST Model for Anaerobic Digestion</dc:title>
  <dc:subject>A model to assess project economics, design cost-based incentives, and evaluate the impact of state and federal support structures on renewable energy</dc:subject>
  <dc:creator>William F Lazarus</dc:creator>
  <cp:keywords/>
  <dc:description/>
  <cp:lastModifiedBy>William F Lazarus</cp:lastModifiedBy>
  <cp:lastPrinted>2010-07-30T20:36:23Z</cp:lastPrinted>
  <dcterms:created xsi:type="dcterms:W3CDTF">2010-03-29T19:24:38Z</dcterms:created>
  <dcterms:modified xsi:type="dcterms:W3CDTF">2024-03-22T20:54:15Z</dcterms:modified>
  <cp:category/>
</cp:coreProperties>
</file>